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2396" windowHeight="7836" activeTab="0"/>
  </bookViews>
  <sheets>
    <sheet name="BSILOSIZE " sheetId="1" r:id="rId1"/>
    <sheet name="BSILOSIZE Metric" sheetId="2" r:id="rId2"/>
    <sheet name="BSILOSIZE Portuguese" sheetId="3" r:id="rId3"/>
    <sheet name="BSILOSIZE Russian" sheetId="4" r:id="rId4"/>
  </sheets>
  <definedNames>
    <definedName name="__123Graph_A" localSheetId="0" hidden="1">'BSILOSIZE '!$B$48:$B$59</definedName>
    <definedName name="__123Graph_AGraph1" localSheetId="0" hidden="1">'BSILOSIZE '!$B$48:$B$59</definedName>
    <definedName name="__123Graph_B" localSheetId="0" hidden="1">'BSILOSIZE '!$D$48:$D$59</definedName>
    <definedName name="__123Graph_BGraph1" localSheetId="0" hidden="1">'BSILOSIZE '!$D$48:$D$59</definedName>
    <definedName name="__123Graph_C" localSheetId="0" hidden="1">'BSILOSIZE '!$E$48:$E$59</definedName>
    <definedName name="__123Graph_CGraph1" localSheetId="0" hidden="1">'BSILOSIZE '!$E$48:$E$59</definedName>
    <definedName name="__123Graph_D" localSheetId="0" hidden="1">'BSILOSIZE '!$G$48:$G$59</definedName>
    <definedName name="__123Graph_DGraph1" localSheetId="0" hidden="1">'BSILOSIZE '!$G$48:$G$59</definedName>
    <definedName name="__123Graph_X" localSheetId="0" hidden="1">'BSILOSIZE '!$A$48:$A$59</definedName>
    <definedName name="__123Graph_XGraph1" localSheetId="0" hidden="1">'BSILOSIZE '!$A$48:$A$59</definedName>
    <definedName name="_Order1" localSheetId="0" hidden="1">255</definedName>
    <definedName name="_Order2" localSheetId="0" hidden="1">255</definedName>
    <definedName name="_xlnm.Print_Area" localSheetId="0">'BSILOSIZE '!$A$1:$T$65</definedName>
    <definedName name="_xlnm.Print_Area" localSheetId="2">'BSILOSIZE Portuguese'!$A$1:$T$62</definedName>
    <definedName name="Print_Area_MI">'BSILOSIZE '!$A$1:$T$65</definedName>
  </definedNames>
  <calcPr fullCalcOnLoad="1"/>
</workbook>
</file>

<file path=xl/sharedStrings.xml><?xml version="1.0" encoding="utf-8"?>
<sst xmlns="http://schemas.openxmlformats.org/spreadsheetml/2006/main" count="731" uniqueCount="272">
  <si>
    <t xml:space="preserve">BUNKER SILO SIZING </t>
  </si>
  <si>
    <t>Brian J. Holmes</t>
  </si>
  <si>
    <t>Professor and Extension Specialist</t>
  </si>
  <si>
    <t>Biological Systems Engineering Dept.</t>
  </si>
  <si>
    <t>University of Wisconsin-Madison</t>
  </si>
  <si>
    <t>=</t>
  </si>
  <si>
    <t>Voice: (608) 262-0096</t>
  </si>
  <si>
    <t>Hay1</t>
  </si>
  <si>
    <t>Hay2</t>
  </si>
  <si>
    <t>Hay3</t>
  </si>
  <si>
    <t>Corn</t>
  </si>
  <si>
    <t>FAX:    (608) 262-1228</t>
  </si>
  <si>
    <t>Number</t>
  </si>
  <si>
    <t>Silage</t>
  </si>
  <si>
    <t>per</t>
  </si>
  <si>
    <t>Group</t>
  </si>
  <si>
    <t>TOTAL</t>
  </si>
  <si>
    <t>--------  LBS DM/ANIMAL-DAY    ---------</t>
  </si>
  <si>
    <t>--------  LBS DM/GROUP-DAY    ---------</t>
  </si>
  <si>
    <t>DRY</t>
  </si>
  <si>
    <t>Transition</t>
  </si>
  <si>
    <t>INPUT</t>
  </si>
  <si>
    <t>Dry1</t>
  </si>
  <si>
    <t>Dry2</t>
  </si>
  <si>
    <t>Forage Type (hay, corn, oats&amp;peas etc):</t>
  </si>
  <si>
    <t>corn</t>
  </si>
  <si>
    <t>Close-up</t>
  </si>
  <si>
    <t>Herd Daily Feed Need (Lbs DMI/Herd-Day)  =</t>
  </si>
  <si>
    <t>Maternity</t>
  </si>
  <si>
    <t xml:space="preserve">          This Forage</t>
  </si>
  <si>
    <t>Fresh</t>
  </si>
  <si>
    <t>Storage Loss (%)                                      =</t>
  </si>
  <si>
    <t xml:space="preserve">           Fill through Storage</t>
  </si>
  <si>
    <t>Two-year-olds</t>
  </si>
  <si>
    <t>Feeding Loss (%)                                      =</t>
  </si>
  <si>
    <t>THREE YRS &amp; OLDER</t>
  </si>
  <si>
    <t xml:space="preserve">           Feed Removal through Refusal</t>
  </si>
  <si>
    <t>High Producers</t>
  </si>
  <si>
    <t>Medium Producers</t>
  </si>
  <si>
    <t>Silage Wet Density (40 Lbs/cu ft)               =</t>
  </si>
  <si>
    <t>Low Producers</t>
  </si>
  <si>
    <t>Silage Moisture Content (%)                       =</t>
  </si>
  <si>
    <t>Sick Cows</t>
  </si>
  <si>
    <t>-</t>
  </si>
  <si>
    <t>Face Removal Rate (min. 6 In/Day)             =</t>
  </si>
  <si>
    <t>MATURE COWS</t>
  </si>
  <si>
    <t>Storage Period (days)                                =</t>
  </si>
  <si>
    <t>HEIFERS</t>
  </si>
  <si>
    <t>3-5 months</t>
  </si>
  <si>
    <t>Maximum Silo Length (150 ft)                     =</t>
  </si>
  <si>
    <t>6-8 months</t>
  </si>
  <si>
    <t xml:space="preserve">     for about 10 foot wall height</t>
  </si>
  <si>
    <t>9-12 months</t>
  </si>
  <si>
    <t>13-15 months</t>
  </si>
  <si>
    <t>16 months-freshening</t>
  </si>
  <si>
    <t>RESULTS</t>
  </si>
  <si>
    <t>AVERAGE</t>
  </si>
  <si>
    <t>NUMBER</t>
  </si>
  <si>
    <t>BUNKER</t>
  </si>
  <si>
    <t>FORAGE</t>
  </si>
  <si>
    <t>PERCENTAGE</t>
  </si>
  <si>
    <t>WALL</t>
  </si>
  <si>
    <t>of</t>
  </si>
  <si>
    <t>LENGTH</t>
  </si>
  <si>
    <t>PLACED</t>
  </si>
  <si>
    <t>LOSS</t>
  </si>
  <si>
    <t>DM LOSS</t>
  </si>
  <si>
    <t>HEIGHT</t>
  </si>
  <si>
    <t>WIDTH</t>
  </si>
  <si>
    <t>INTO</t>
  </si>
  <si>
    <t>Fill through</t>
  </si>
  <si>
    <t>SILOS</t>
  </si>
  <si>
    <t>(FEET)</t>
  </si>
  <si>
    <t>STORAGE</t>
  </si>
  <si>
    <t>Refusal</t>
  </si>
  <si>
    <t>(EACH)</t>
  </si>
  <si>
    <t>(TDM)</t>
  </si>
  <si>
    <t>(%)</t>
  </si>
  <si>
    <t>*</t>
  </si>
  <si>
    <t>* Forage DM Loss is the sum of the Storage Loss and Feeding Loss (entered above) at 12 foot wall height plus a feeding face loss.</t>
  </si>
  <si>
    <t>D:\lotus\holmes\BSILOSIZ.XLS or BSILOSIZ.WB2 or BSILOSIZ.WK3</t>
  </si>
  <si>
    <t>bjholmes@wisc.edu</t>
  </si>
  <si>
    <t>BUNKER SILO SIZING - Metric Version</t>
  </si>
  <si>
    <t>Herd Daily Feed Need (Kg DMI/Herd-Day)  =</t>
  </si>
  <si>
    <t>Silage Wet Density (705 Kg/cu m)               =</t>
  </si>
  <si>
    <t>Face Removal Rate (min. 0.15 m/Day)             =</t>
  </si>
  <si>
    <t>Maximum Silo Length (46 m)                     =</t>
  </si>
  <si>
    <t xml:space="preserve">     for about 3 meter wall height</t>
  </si>
  <si>
    <t>(Meter)</t>
  </si>
  <si>
    <t>(tDM)</t>
  </si>
  <si>
    <t>* Forage DM Loss is the sum of the Storage Loss and Feeding Loss (entered above) at 3.7 meter wall height plus a feeding face loss.</t>
  </si>
  <si>
    <t>--------  Kg DM/ANIMAL-DAY    ---------</t>
  </si>
  <si>
    <t>--------  Kg DM/GROUP-DAY    ---------</t>
  </si>
  <si>
    <t>Losses will be greater for wall height less than 12 feet and less for higher walls due to top surface area effects.</t>
  </si>
  <si>
    <r>
      <t>SILAGE DRY MATTER CALCULATOR</t>
    </r>
    <r>
      <rPr>
        <sz val="10"/>
        <rFont val="Helv"/>
        <family val="0"/>
      </rPr>
      <t xml:space="preserve"> (herd totals do NOT transfer to Herd Daily Feed Need in </t>
    </r>
    <r>
      <rPr>
        <b/>
        <sz val="10"/>
        <rFont val="Helv"/>
        <family val="0"/>
      </rPr>
      <t>INPUT</t>
    </r>
    <r>
      <rPr>
        <sz val="10"/>
        <rFont val="Helv"/>
        <family val="0"/>
      </rPr>
      <t xml:space="preserve"> section)</t>
    </r>
  </si>
  <si>
    <t>================================================================</t>
  </si>
  <si>
    <r>
      <t xml:space="preserve">User input values are in </t>
    </r>
    <r>
      <rPr>
        <sz val="10"/>
        <color indexed="12"/>
        <rFont val="Helv"/>
        <family val="0"/>
      </rPr>
      <t>blue text</t>
    </r>
    <r>
      <rPr>
        <sz val="10"/>
        <rFont val="Helv"/>
        <family val="0"/>
      </rPr>
      <t xml:space="preserve"> with yellow background</t>
    </r>
  </si>
  <si>
    <t>=============================================================</t>
  </si>
  <si>
    <t>Madison, WI 53706</t>
  </si>
  <si>
    <r>
      <t xml:space="preserve">SILAGE DRY MATTER CALCULATOR </t>
    </r>
    <r>
      <rPr>
        <sz val="10"/>
        <rFont val="Helv"/>
        <family val="0"/>
      </rPr>
      <t>(herd totals do NOT transfer to Herd Daily Feed Need in</t>
    </r>
    <r>
      <rPr>
        <b/>
        <sz val="10"/>
        <rFont val="Helv"/>
        <family val="0"/>
      </rPr>
      <t xml:space="preserve"> INPUT </t>
    </r>
    <r>
      <rPr>
        <sz val="10"/>
        <rFont val="Helv"/>
        <family val="0"/>
      </rPr>
      <t>section)</t>
    </r>
  </si>
  <si>
    <t>HERD TOTAL (Lbs DM/Herd/day)</t>
  </si>
  <si>
    <t>HERD TOTAL  (Kg DM/herd/day)</t>
  </si>
  <si>
    <t>Transfer these values to cell E19</t>
  </si>
  <si>
    <t>=================================================================</t>
  </si>
  <si>
    <t>Maximum Packing Tractor Width (feet) =</t>
  </si>
  <si>
    <t>Maximum Packing Tractor Width (meters) =</t>
  </si>
  <si>
    <t>DIMENSIONAMENTO DE SILO TRINCHEIRA</t>
  </si>
  <si>
    <t>ENTRADA DE DADOS</t>
  </si>
  <si>
    <t>Largura Maxima do Trator Carregador (metros) =</t>
  </si>
  <si>
    <t>Perda na Estocagem (%)                                      =</t>
  </si>
  <si>
    <t>Perda no Fornecimento (%)                                      =</t>
  </si>
  <si>
    <t>Umidade da Silagem (%)                       =</t>
  </si>
  <si>
    <t>Periodo de Estocagem (dias)                                =</t>
  </si>
  <si>
    <t>Comprimento Maximo do Silo (46 m)                     =</t>
  </si>
  <si>
    <t xml:space="preserve">     para parede de aproximadamente 3 metros de altura</t>
  </si>
  <si>
    <t>RESULTADOS</t>
  </si>
  <si>
    <t>PAREDE</t>
  </si>
  <si>
    <t>ALTURA</t>
  </si>
  <si>
    <t>LARGURA</t>
  </si>
  <si>
    <t>MEDIA</t>
  </si>
  <si>
    <t>NUMERO</t>
  </si>
  <si>
    <t>de</t>
  </si>
  <si>
    <t>TRINCHEIRA</t>
  </si>
  <si>
    <t>COMPRIMENTO</t>
  </si>
  <si>
    <t>DO SILO</t>
  </si>
  <si>
    <t>(CADA)</t>
  </si>
  <si>
    <t>(Metros)</t>
  </si>
  <si>
    <t>FORRAGEM</t>
  </si>
  <si>
    <t>ESTOCADA</t>
  </si>
  <si>
    <t>(t MS)</t>
  </si>
  <si>
    <t>Requerimento Nutricional Diario do Rebanho (Kg MS/Rebanho-Dia)  =</t>
  </si>
  <si>
    <t>PERDA DE</t>
  </si>
  <si>
    <t>PORCENTAGEM</t>
  </si>
  <si>
    <t>Grupo</t>
  </si>
  <si>
    <t>SECAS</t>
  </si>
  <si>
    <t>Maternidade</t>
  </si>
  <si>
    <t>Recem-Paridas</t>
  </si>
  <si>
    <t>Dois anos de idade</t>
  </si>
  <si>
    <t>Tres anos e Acima</t>
  </si>
  <si>
    <t>Alta Producao</t>
  </si>
  <si>
    <t>Media Producao</t>
  </si>
  <si>
    <t>Baixa Producao</t>
  </si>
  <si>
    <t>Animais doentes</t>
  </si>
  <si>
    <t>VACAS ADULTAS</t>
  </si>
  <si>
    <t>NOVILHAS</t>
  </si>
  <si>
    <t>3-5 meses</t>
  </si>
  <si>
    <t>6-8 meses</t>
  </si>
  <si>
    <t>9-12 meses</t>
  </si>
  <si>
    <t>13-15 meses</t>
  </si>
  <si>
    <t>Transicao</t>
  </si>
  <si>
    <t>Secas1</t>
  </si>
  <si>
    <t>Secas2</t>
  </si>
  <si>
    <t>Numero</t>
  </si>
  <si>
    <t>por</t>
  </si>
  <si>
    <t>Silagem</t>
  </si>
  <si>
    <t>Milho</t>
  </si>
  <si>
    <t>Transferir esses valores para celula E19</t>
  </si>
  <si>
    <t xml:space="preserve">          desta Forragem</t>
  </si>
  <si>
    <t>milho</t>
  </si>
  <si>
    <t>Pre-parto</t>
  </si>
  <si>
    <t>TOTAL REBANHO (Kg MS/rebanho/dia)</t>
  </si>
  <si>
    <t>16 meses e pre-parto</t>
  </si>
  <si>
    <t>DE PERDA DE MS</t>
  </si>
  <si>
    <t xml:space="preserve">Enchimento e </t>
  </si>
  <si>
    <t>Rejeicao</t>
  </si>
  <si>
    <t>* Perda de MS de Forragem eh a soma da Perda na Estocagem e da Perda no Fornecimento (inseridos acima) com uma parede de 3.7 metros de altura, mais uma Perda de Superficie</t>
  </si>
  <si>
    <t>As perdas serao maiores para paredes mais baixas que 4 metros, e menores para paredes mais altas, devido ao efeito da area de superficie no topo do silo.</t>
  </si>
  <si>
    <r>
      <t>CALCULO DE MATERIA SECA DA SILAGEM</t>
    </r>
    <r>
      <rPr>
        <sz val="10"/>
        <rFont val="Helv"/>
        <family val="0"/>
      </rPr>
      <t xml:space="preserve"> (o total do rebanho NAO eh transferido automaticamente para o Requerimento Nutricional Diario do Rebanho na secao ENTRADA DE DADOS)</t>
    </r>
  </si>
  <si>
    <t xml:space="preserve">           do Enchimento do silo ate o final do periodo de Estocagem</t>
  </si>
  <si>
    <t xml:space="preserve">           da Remocao do silo ate o final do fornecimento, incluindo perdas por Rejeicao</t>
  </si>
  <si>
    <t>Forragem1</t>
  </si>
  <si>
    <t>Forragem2</t>
  </si>
  <si>
    <t>Forragem3</t>
  </si>
  <si>
    <t>Tipo de Forragem (milho, sorgo, milheto, capim, napier, alfafa, aveia, cana, etc):</t>
  </si>
  <si>
    <t>Densidade da Silagem Umida (705 Kg/m3)               =</t>
  </si>
  <si>
    <t>Taxa de Remocao da Silagem (min. 0.15 m/dia)             =</t>
  </si>
  <si>
    <t xml:space="preserve">           (profundidade do corte)</t>
  </si>
  <si>
    <t>--------  Kg MS/GRUPO-DIA    ----------------------------</t>
  </si>
  <si>
    <t>--------  Kg MS/ANIMAL-DIA    ------------------------------</t>
  </si>
  <si>
    <t>===========================================================================================</t>
  </si>
  <si>
    <r>
      <t xml:space="preserve">Valores inseridos pelo usuario estao em </t>
    </r>
    <r>
      <rPr>
        <sz val="10"/>
        <color indexed="12"/>
        <rFont val="Helv"/>
        <family val="0"/>
      </rPr>
      <t xml:space="preserve">azul </t>
    </r>
    <r>
      <rPr>
        <sz val="10"/>
        <rFont val="Helv"/>
        <family val="0"/>
      </rPr>
      <t>com fundo amarelo</t>
    </r>
  </si>
  <si>
    <t>Fone: +1(608) 262-0096</t>
  </si>
  <si>
    <t>FAX: +1(608) 262-1228</t>
  </si>
  <si>
    <t>Universidade de Wisconsin-Madison</t>
  </si>
  <si>
    <t>Professor e Extensionista Especialista</t>
  </si>
  <si>
    <t>Depart. Engenharia de Sistemas Biologicos</t>
  </si>
  <si>
    <t>Madison, WI, EUA 53706</t>
  </si>
  <si>
    <t xml:space="preserve">ОПРЕДЕЛЕНИЕ РАЗМЕРА СИЛОСНОЙ ЯМЫ </t>
  </si>
  <si>
    <t>15 августа, 2009</t>
  </si>
  <si>
    <t xml:space="preserve">Браен Дж. Холмс </t>
  </si>
  <si>
    <t xml:space="preserve">Профессор и специалист по распространению с/х знаний </t>
  </si>
  <si>
    <t xml:space="preserve">Факультет проектирования биологических систем </t>
  </si>
  <si>
    <t xml:space="preserve">Университет Висконсина, Медисон </t>
  </si>
  <si>
    <r>
      <t xml:space="preserve">РАСЧЕТ СУХОГО ВЕЩЕСТВА СИЛОСА </t>
    </r>
    <r>
      <rPr>
        <sz val="9"/>
        <rFont val="Helv"/>
        <family val="0"/>
      </rPr>
      <t>(общие данные по стаду НЕ переносятся в строку Суточная потребность стада в кормах в разделе ВВОДНЫЕ ДАННЫЕ)</t>
    </r>
  </si>
  <si>
    <t>Сено1</t>
  </si>
  <si>
    <t>Сено2</t>
  </si>
  <si>
    <t>Сено3</t>
  </si>
  <si>
    <t>Кукурузный</t>
  </si>
  <si>
    <t>Количество</t>
  </si>
  <si>
    <t>Силос</t>
  </si>
  <si>
    <t>силос</t>
  </si>
  <si>
    <t>на</t>
  </si>
  <si>
    <t>Группа</t>
  </si>
  <si>
    <t>группу</t>
  </si>
  <si>
    <t>ВСЕГО</t>
  </si>
  <si>
    <t>--------  кг СВ/ ГОЛ. В ДЕНЬ     ---------</t>
  </si>
  <si>
    <t>--------  кг СВ/ ГРУППУ В ДЕНЬ     ---------</t>
  </si>
  <si>
    <r>
      <t xml:space="preserve">Значенеия, вводимые пользователем, выделены </t>
    </r>
    <r>
      <rPr>
        <sz val="10"/>
        <color indexed="12"/>
        <rFont val="Helv"/>
        <family val="0"/>
      </rPr>
      <t>синим шрифтом</t>
    </r>
    <r>
      <rPr>
        <sz val="10"/>
        <rFont val="Helv"/>
        <family val="0"/>
      </rPr>
      <t xml:space="preserve"> на желтом фоне </t>
    </r>
  </si>
  <si>
    <t xml:space="preserve">ВВОДНЫЕ ДАННЫЕ </t>
  </si>
  <si>
    <t>СУХОСТОЙ</t>
  </si>
  <si>
    <t>переход</t>
  </si>
  <si>
    <t>Максимальная ширина трактора для утрамбовки (м) =</t>
  </si>
  <si>
    <t>сухостой 1</t>
  </si>
  <si>
    <t>сухостой 2</t>
  </si>
  <si>
    <t>Тип фуража (сено, кукуруза, овес и горох и пр.):</t>
  </si>
  <si>
    <t>кукуруза</t>
  </si>
  <si>
    <t>позднестельные</t>
  </si>
  <si>
    <t>Суточная потребность стада в кормах (потребление СВ, кг/ стадо/ день)  =</t>
  </si>
  <si>
    <t xml:space="preserve">Отел </t>
  </si>
  <si>
    <t>Фураж</t>
  </si>
  <si>
    <t>Новотельные</t>
  </si>
  <si>
    <t>Потери при хранении (%)                                      =</t>
  </si>
  <si>
    <t xml:space="preserve">           от заполнения и в течение хранения </t>
  </si>
  <si>
    <t>2-летние</t>
  </si>
  <si>
    <t>Потери при кормлении (%)                                      =</t>
  </si>
  <si>
    <t xml:space="preserve">3 ГОДА И СТАРШЕ </t>
  </si>
  <si>
    <t xml:space="preserve">           остатки</t>
  </si>
  <si>
    <t>высокая продуктивность</t>
  </si>
  <si>
    <t>средняя продуктивность</t>
  </si>
  <si>
    <t>Плотность влажного силоса (705 кг/ м3)               =</t>
  </si>
  <si>
    <t>низкая продуктивность</t>
  </si>
  <si>
    <t xml:space="preserve">больные коровы </t>
  </si>
  <si>
    <t>Интенсивность забора силоса (мин. 0.15 м/ день)             =</t>
  </si>
  <si>
    <t xml:space="preserve">ВЗРОСЛЫЕ КОРОВЫ </t>
  </si>
  <si>
    <t>НЕТЕЛИ</t>
  </si>
  <si>
    <t>3-5 мес.</t>
  </si>
  <si>
    <t>Максимальная длина силоса (46 м)                     =</t>
  </si>
  <si>
    <t>6-8 мес.</t>
  </si>
  <si>
    <t xml:space="preserve">     высота стенок около 3 метров</t>
  </si>
  <si>
    <t>9-12 мес.</t>
  </si>
  <si>
    <t>13-15 мес.</t>
  </si>
  <si>
    <t>16 мес.-отел</t>
  </si>
  <si>
    <t xml:space="preserve">РЕЗУЛЬТАТЫ </t>
  </si>
  <si>
    <t xml:space="preserve">НЕТЕЛИ </t>
  </si>
  <si>
    <t>СРЕДНЯЯ</t>
  </si>
  <si>
    <t>КОЛИЧЕСТВО</t>
  </si>
  <si>
    <t xml:space="preserve">ДЛИНА </t>
  </si>
  <si>
    <t>ФУРАЖ,</t>
  </si>
  <si>
    <t xml:space="preserve">ПОТЕРИ </t>
  </si>
  <si>
    <t xml:space="preserve">ВЫСОТА </t>
  </si>
  <si>
    <t xml:space="preserve">ШИРИНА </t>
  </si>
  <si>
    <t>ХРАНИЛИЩА</t>
  </si>
  <si>
    <t xml:space="preserve">ЗАКЛАДЫВАЕМЫЙ </t>
  </si>
  <si>
    <t>ФУРАЖА</t>
  </si>
  <si>
    <t>ПОТЕРИ СВ</t>
  </si>
  <si>
    <t>СТЕНКИ</t>
  </si>
  <si>
    <t xml:space="preserve">СИЛОСНЫХ </t>
  </si>
  <si>
    <t>НА</t>
  </si>
  <si>
    <t xml:space="preserve">от заполнения до </t>
  </si>
  <si>
    <t>ВСЕГО НА СТАДО (кг СВ/ стадо/ день)</t>
  </si>
  <si>
    <t>ЯМ</t>
  </si>
  <si>
    <t>(м)</t>
  </si>
  <si>
    <t>ХРАНЕНИЕ</t>
  </si>
  <si>
    <t>скармливания (отказ)</t>
  </si>
  <si>
    <t>Перенесите эти показатели в ячейку E19</t>
  </si>
  <si>
    <t>(М)</t>
  </si>
  <si>
    <t>(КАЖДЫЙ)</t>
  </si>
  <si>
    <t>(тСВ)</t>
  </si>
  <si>
    <t xml:space="preserve">* Потери СВ фуража - это сумма потерь при Хранении и Скармливании (данные вводятся выше) при высоте стенки 3.7 метров, плюс потери в месте отбора силоса </t>
  </si>
  <si>
    <t>Потери будут выше при высоте стенки менее 3.7 метров и меньше при большей высоте, что обусловлено площадью поверхности сверху.</t>
  </si>
  <si>
    <t>Период хранения (дни)                                         =</t>
  </si>
  <si>
    <t>Влажность силоса  (%)                             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</si>
</sst>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[$-409]dddd\,\ mmmm\ dd\,\ yyyy"/>
    <numFmt numFmtId="168" formatCode="[$-409]mmmm\ d\,\ yyyy;@"/>
    <numFmt numFmtId="169" formatCode="#,##0.0"/>
    <numFmt numFmtId="170" formatCode="0.000"/>
    <numFmt numFmtId="171" formatCode="d/m/yy\ h:mm;@"/>
    <numFmt numFmtId="172" formatCode="[$-416]d\ \ mmmm\,\ yyyy;@"/>
  </numFmts>
  <fonts count="47">
    <font>
      <sz val="10"/>
      <name val="Helv"/>
      <family val="0"/>
    </font>
    <font>
      <sz val="10"/>
      <name val="Arial"/>
      <family val="0"/>
    </font>
    <font>
      <sz val="10"/>
      <color indexed="12"/>
      <name val="Helv"/>
      <family val="0"/>
    </font>
    <font>
      <sz val="10"/>
      <color indexed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b/>
      <sz val="10"/>
      <name val="Helv"/>
      <family val="0"/>
    </font>
    <font>
      <sz val="10"/>
      <color indexed="9"/>
      <name val="Helv"/>
      <family val="0"/>
    </font>
    <font>
      <sz val="10"/>
      <color indexed="8"/>
      <name val="Helv"/>
      <family val="0"/>
    </font>
    <font>
      <b/>
      <sz val="10"/>
      <color indexed="10"/>
      <name val="Helv"/>
      <family val="0"/>
    </font>
    <font>
      <u val="single"/>
      <sz val="10"/>
      <color indexed="36"/>
      <name val="Helv"/>
      <family val="0"/>
    </font>
    <font>
      <sz val="9"/>
      <name val="Helv"/>
      <family val="0"/>
    </font>
    <font>
      <sz val="9"/>
      <color indexed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fill"/>
    </xf>
    <xf numFmtId="0" fontId="3" fillId="0" borderId="0" xfId="0" applyFont="1" applyAlignment="1" applyProtection="1">
      <alignment/>
      <protection/>
    </xf>
    <xf numFmtId="0" fontId="5" fillId="0" borderId="0" xfId="53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166" fontId="0" fillId="33" borderId="0" xfId="0" applyNumberFormat="1" applyFill="1" applyAlignment="1" applyProtection="1">
      <alignment/>
      <protection/>
    </xf>
    <xf numFmtId="0" fontId="0" fillId="33" borderId="0" xfId="0" applyFill="1" applyAlignment="1">
      <alignment/>
    </xf>
    <xf numFmtId="0" fontId="2" fillId="34" borderId="0" xfId="0" applyFont="1" applyFill="1" applyAlignment="1" applyProtection="1">
      <alignment/>
      <protection locked="0"/>
    </xf>
    <xf numFmtId="166" fontId="2" fillId="34" borderId="0" xfId="0" applyNumberFormat="1" applyFont="1" applyFill="1" applyAlignment="1" applyProtection="1">
      <alignment horizontal="right"/>
      <protection locked="0"/>
    </xf>
    <xf numFmtId="166" fontId="2" fillId="34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35" borderId="0" xfId="0" applyFont="1" applyFill="1" applyAlignment="1">
      <alignment/>
    </xf>
    <xf numFmtId="164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fill"/>
    </xf>
    <xf numFmtId="164" fontId="0" fillId="35" borderId="0" xfId="0" applyNumberFormat="1" applyFill="1" applyAlignment="1" applyProtection="1">
      <alignment horizontal="fill"/>
      <protection/>
    </xf>
    <xf numFmtId="165" fontId="0" fillId="35" borderId="0" xfId="0" applyNumberFormat="1" applyFill="1" applyAlignment="1" applyProtection="1">
      <alignment horizontal="fill"/>
      <protection/>
    </xf>
    <xf numFmtId="166" fontId="0" fillId="35" borderId="0" xfId="0" applyNumberFormat="1" applyFill="1" applyAlignment="1" applyProtection="1">
      <alignment horizontal="fill"/>
      <protection/>
    </xf>
    <xf numFmtId="166" fontId="0" fillId="35" borderId="0" xfId="0" applyNumberFormat="1" applyFill="1" applyAlignment="1" applyProtection="1">
      <alignment horizontal="right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>
      <alignment horizontal="right"/>
    </xf>
    <xf numFmtId="2" fontId="0" fillId="35" borderId="0" xfId="0" applyNumberFormat="1" applyFill="1" applyAlignment="1" applyProtection="1">
      <alignment/>
      <protection/>
    </xf>
    <xf numFmtId="169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>
      <alignment/>
    </xf>
    <xf numFmtId="165" fontId="0" fillId="35" borderId="0" xfId="0" applyNumberFormat="1" applyFont="1" applyFill="1" applyAlignment="1" applyProtection="1">
      <alignment/>
      <protection/>
    </xf>
    <xf numFmtId="169" fontId="0" fillId="35" borderId="0" xfId="0" applyNumberFormat="1" applyFont="1" applyFill="1" applyAlignment="1" applyProtection="1">
      <alignment/>
      <protection/>
    </xf>
    <xf numFmtId="166" fontId="0" fillId="35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165" fontId="3" fillId="35" borderId="0" xfId="0" applyNumberFormat="1" applyFont="1" applyFill="1" applyAlignment="1" applyProtection="1">
      <alignment/>
      <protection/>
    </xf>
    <xf numFmtId="169" fontId="3" fillId="35" borderId="0" xfId="0" applyNumberFormat="1" applyFont="1" applyFill="1" applyAlignment="1" applyProtection="1">
      <alignment/>
      <protection/>
    </xf>
    <xf numFmtId="166" fontId="3" fillId="35" borderId="0" xfId="0" applyNumberFormat="1" applyFont="1" applyFill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0" fontId="6" fillId="33" borderId="0" xfId="0" applyFont="1" applyFill="1" applyAlignment="1">
      <alignment/>
    </xf>
    <xf numFmtId="164" fontId="0" fillId="33" borderId="0" xfId="0" applyNumberFormat="1" applyFill="1" applyAlignment="1" applyProtection="1">
      <alignment/>
      <protection/>
    </xf>
    <xf numFmtId="0" fontId="0" fillId="33" borderId="0" xfId="0" applyFill="1" applyAlignment="1">
      <alignment horizontal="fill"/>
    </xf>
    <xf numFmtId="164" fontId="0" fillId="33" borderId="0" xfId="0" applyNumberFormat="1" applyFill="1" applyAlignment="1" applyProtection="1">
      <alignment horizontal="fill"/>
      <protection/>
    </xf>
    <xf numFmtId="165" fontId="0" fillId="33" borderId="0" xfId="0" applyNumberFormat="1" applyFill="1" applyAlignment="1" applyProtection="1">
      <alignment horizontal="fill"/>
      <protection/>
    </xf>
    <xf numFmtId="166" fontId="0" fillId="33" borderId="0" xfId="0" applyNumberFormat="1" applyFill="1" applyAlignment="1" applyProtection="1">
      <alignment horizontal="fill"/>
      <protection/>
    </xf>
    <xf numFmtId="166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quotePrefix="1">
      <alignment horizontal="fill"/>
    </xf>
    <xf numFmtId="0" fontId="0" fillId="0" borderId="0" xfId="0" applyFill="1" applyAlignment="1">
      <alignment horizontal="fill"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/>
      <protection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fill"/>
    </xf>
    <xf numFmtId="0" fontId="0" fillId="36" borderId="0" xfId="0" applyFill="1" applyAlignment="1" quotePrefix="1">
      <alignment/>
    </xf>
    <xf numFmtId="0" fontId="0" fillId="36" borderId="0" xfId="0" applyFill="1" applyAlignment="1">
      <alignment horizontal="right"/>
    </xf>
    <xf numFmtId="165" fontId="0" fillId="36" borderId="0" xfId="0" applyNumberForma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/>
    </xf>
    <xf numFmtId="0" fontId="8" fillId="36" borderId="0" xfId="0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0" fillId="33" borderId="0" xfId="0" applyFont="1" applyFill="1" applyAlignment="1">
      <alignment/>
    </xf>
    <xf numFmtId="164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0" fontId="0" fillId="33" borderId="0" xfId="0" applyFill="1" applyAlignment="1">
      <alignment horizontal="right"/>
    </xf>
    <xf numFmtId="166" fontId="4" fillId="35" borderId="0" xfId="0" applyNumberFormat="1" applyFont="1" applyFill="1" applyAlignment="1" applyProtection="1">
      <alignment horizontal="right"/>
      <protection/>
    </xf>
    <xf numFmtId="0" fontId="11" fillId="36" borderId="0" xfId="0" applyFont="1" applyFill="1" applyAlignment="1">
      <alignment/>
    </xf>
    <xf numFmtId="0" fontId="12" fillId="0" borderId="0" xfId="0" applyFont="1" applyAlignment="1" applyProtection="1">
      <alignment/>
      <protection/>
    </xf>
    <xf numFmtId="0" fontId="0" fillId="3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4"/>
  <sheetViews>
    <sheetView showGridLines="0" tabSelected="1" zoomScalePageLayoutView="0" workbookViewId="0" topLeftCell="A1">
      <selection activeCell="J45" sqref="J45"/>
    </sheetView>
  </sheetViews>
  <sheetFormatPr defaultColWidth="9.7109375" defaultRowHeight="12.75"/>
  <cols>
    <col min="1" max="1" width="9.7109375" style="0" customWidth="1"/>
    <col min="2" max="2" width="14.28125" style="0" bestFit="1" customWidth="1"/>
    <col min="3" max="6" width="10.7109375" style="0" customWidth="1"/>
    <col min="7" max="7" width="11.7109375" style="0" customWidth="1"/>
    <col min="8" max="8" width="6.140625" style="0" customWidth="1"/>
    <col min="9" max="9" width="20.7109375" style="0" customWidth="1"/>
    <col min="10" max="10" width="7.7109375" style="0" customWidth="1"/>
    <col min="11" max="11" width="6.7109375" style="0" customWidth="1"/>
    <col min="12" max="15" width="8.7109375" style="0" customWidth="1"/>
    <col min="16" max="16" width="22.140625" style="0" customWidth="1"/>
    <col min="17" max="20" width="8.7109375" style="0" customWidth="1"/>
  </cols>
  <sheetData>
    <row r="1" spans="1:6" ht="12">
      <c r="A1" s="60" t="s">
        <v>0</v>
      </c>
      <c r="B1" s="1"/>
      <c r="C1" s="2"/>
      <c r="D1" s="2"/>
      <c r="E1" s="3"/>
      <c r="F1" s="3"/>
    </row>
    <row r="2" spans="2:6" ht="12">
      <c r="B2" s="7">
        <v>40040</v>
      </c>
      <c r="C2" s="2"/>
      <c r="D2" s="2"/>
      <c r="E2" s="3"/>
      <c r="F2" s="3"/>
    </row>
    <row r="3" spans="1:6" ht="12">
      <c r="A3" t="s">
        <v>1</v>
      </c>
      <c r="B3" s="1"/>
      <c r="C3" s="2"/>
      <c r="D3" s="2"/>
      <c r="E3" s="3"/>
      <c r="F3" s="3"/>
    </row>
    <row r="4" spans="1:6" ht="12">
      <c r="A4" t="s">
        <v>2</v>
      </c>
      <c r="B4" s="1"/>
      <c r="C4" s="2"/>
      <c r="D4" s="2"/>
      <c r="E4" s="3"/>
      <c r="F4" s="3"/>
    </row>
    <row r="5" spans="1:6" ht="12">
      <c r="A5" t="s">
        <v>3</v>
      </c>
      <c r="B5" s="1"/>
      <c r="C5" s="2"/>
      <c r="D5" s="2"/>
      <c r="E5" s="3"/>
      <c r="F5" s="3"/>
    </row>
    <row r="6" spans="1:21" ht="12">
      <c r="A6" t="s">
        <v>4</v>
      </c>
      <c r="B6" s="1"/>
      <c r="C6" s="2"/>
      <c r="D6" s="2"/>
      <c r="E6" s="3"/>
      <c r="F6" s="3"/>
      <c r="I6" s="49" t="s">
        <v>99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47"/>
    </row>
    <row r="7" spans="1:21" ht="12">
      <c r="A7" t="s">
        <v>98</v>
      </c>
      <c r="B7" s="1"/>
      <c r="C7" s="2"/>
      <c r="D7" s="2"/>
      <c r="E7" s="3"/>
      <c r="F7" s="3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  <c r="U7" s="47"/>
    </row>
    <row r="8" spans="1:21" ht="12">
      <c r="A8" t="s">
        <v>6</v>
      </c>
      <c r="B8" s="1"/>
      <c r="C8" s="2"/>
      <c r="D8" s="2"/>
      <c r="E8" s="3"/>
      <c r="F8" s="3"/>
      <c r="I8" s="50"/>
      <c r="J8" s="50"/>
      <c r="K8" s="50"/>
      <c r="L8" s="50" t="s">
        <v>7</v>
      </c>
      <c r="M8" s="50" t="s">
        <v>8</v>
      </c>
      <c r="N8" s="50" t="s">
        <v>9</v>
      </c>
      <c r="O8" s="50" t="s">
        <v>10</v>
      </c>
      <c r="P8" s="50"/>
      <c r="Q8" s="50" t="s">
        <v>7</v>
      </c>
      <c r="R8" s="50" t="s">
        <v>8</v>
      </c>
      <c r="S8" s="50" t="s">
        <v>9</v>
      </c>
      <c r="T8" s="50" t="s">
        <v>10</v>
      </c>
      <c r="U8" s="47"/>
    </row>
    <row r="9" spans="1:21" ht="12">
      <c r="A9" t="s">
        <v>11</v>
      </c>
      <c r="B9" s="1"/>
      <c r="C9" s="2"/>
      <c r="E9" s="3"/>
      <c r="F9" s="3"/>
      <c r="I9" s="50"/>
      <c r="J9" s="50" t="s">
        <v>12</v>
      </c>
      <c r="K9" s="50"/>
      <c r="L9" s="50" t="s">
        <v>13</v>
      </c>
      <c r="M9" s="50" t="s">
        <v>13</v>
      </c>
      <c r="N9" s="50" t="s">
        <v>13</v>
      </c>
      <c r="O9" s="50" t="s">
        <v>13</v>
      </c>
      <c r="P9" s="50"/>
      <c r="Q9" s="50" t="s">
        <v>13</v>
      </c>
      <c r="R9" s="50" t="s">
        <v>13</v>
      </c>
      <c r="S9" s="50" t="s">
        <v>13</v>
      </c>
      <c r="T9" s="50" t="s">
        <v>13</v>
      </c>
      <c r="U9" s="47"/>
    </row>
    <row r="10" spans="1:21" ht="12">
      <c r="A10" s="6" t="s">
        <v>81</v>
      </c>
      <c r="B10" s="1"/>
      <c r="C10" s="2"/>
      <c r="D10" s="2"/>
      <c r="E10" s="3"/>
      <c r="F10" s="3"/>
      <c r="I10" s="50"/>
      <c r="J10" s="50" t="s">
        <v>14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47"/>
    </row>
    <row r="11" spans="2:21" ht="12">
      <c r="B11" s="1"/>
      <c r="C11" s="2"/>
      <c r="D11" s="2"/>
      <c r="E11" s="3"/>
      <c r="F11" s="3"/>
      <c r="I11" s="50" t="s">
        <v>15</v>
      </c>
      <c r="J11" s="50" t="s">
        <v>15</v>
      </c>
      <c r="K11" s="50" t="s">
        <v>16</v>
      </c>
      <c r="L11" s="50" t="s">
        <v>17</v>
      </c>
      <c r="M11" s="50"/>
      <c r="N11" s="50"/>
      <c r="O11" s="50"/>
      <c r="P11" s="50"/>
      <c r="Q11" s="50" t="s">
        <v>18</v>
      </c>
      <c r="R11" s="50"/>
      <c r="S11" s="50"/>
      <c r="T11" s="50"/>
      <c r="U11" s="47"/>
    </row>
    <row r="12" spans="2:21" ht="12">
      <c r="B12" s="1"/>
      <c r="C12" s="8" t="s">
        <v>96</v>
      </c>
      <c r="D12" s="8"/>
      <c r="E12" s="9"/>
      <c r="F12" s="9"/>
      <c r="G12" s="10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  <c r="U12" s="47"/>
    </row>
    <row r="13" spans="1:21" ht="12">
      <c r="A13" s="38" t="s">
        <v>21</v>
      </c>
      <c r="B13" s="39"/>
      <c r="C13" s="8"/>
      <c r="D13" s="8"/>
      <c r="E13" s="9"/>
      <c r="F13" s="9"/>
      <c r="I13" s="50" t="s">
        <v>19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  <c r="U13" s="47"/>
    </row>
    <row r="14" spans="1:21" ht="12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I14" s="53" t="s">
        <v>20</v>
      </c>
      <c r="J14" s="11">
        <v>8</v>
      </c>
      <c r="K14" s="55"/>
      <c r="L14" s="11">
        <v>0</v>
      </c>
      <c r="M14" s="11">
        <v>0</v>
      </c>
      <c r="N14" s="11">
        <v>20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160</v>
      </c>
      <c r="T14" s="50">
        <f>O14*$J$14</f>
        <v>0</v>
      </c>
      <c r="U14" s="47"/>
    </row>
    <row r="15" spans="1:21" ht="12">
      <c r="A15" s="10" t="s">
        <v>104</v>
      </c>
      <c r="B15" s="39"/>
      <c r="C15" s="8"/>
      <c r="D15" s="8"/>
      <c r="E15" s="13">
        <v>9</v>
      </c>
      <c r="F15" s="9"/>
      <c r="I15" s="53" t="s">
        <v>22</v>
      </c>
      <c r="J15" s="11">
        <v>22</v>
      </c>
      <c r="K15" s="55"/>
      <c r="L15" s="11">
        <v>0</v>
      </c>
      <c r="M15" s="11">
        <v>10</v>
      </c>
      <c r="N15" s="11">
        <v>15</v>
      </c>
      <c r="O15" s="11">
        <v>0</v>
      </c>
      <c r="P15" s="50"/>
      <c r="Q15" s="50">
        <f>L15*$J$15</f>
        <v>0</v>
      </c>
      <c r="R15" s="50">
        <f>M15*$J$15</f>
        <v>220</v>
      </c>
      <c r="S15" s="50">
        <f>N15*$J$15</f>
        <v>330</v>
      </c>
      <c r="T15" s="50">
        <f>O15*$J$15</f>
        <v>0</v>
      </c>
      <c r="U15" s="47"/>
    </row>
    <row r="16" spans="1:21" ht="12">
      <c r="A16" s="10"/>
      <c r="B16" s="41"/>
      <c r="C16" s="42"/>
      <c r="D16" s="42"/>
      <c r="E16" s="43"/>
      <c r="F16" s="43"/>
      <c r="G16" s="4"/>
      <c r="I16" s="53" t="s">
        <v>23</v>
      </c>
      <c r="J16" s="11">
        <v>22</v>
      </c>
      <c r="K16" s="55"/>
      <c r="L16" s="11">
        <v>0</v>
      </c>
      <c r="M16" s="11">
        <v>10</v>
      </c>
      <c r="N16" s="11">
        <v>15</v>
      </c>
      <c r="O16" s="11">
        <v>0</v>
      </c>
      <c r="P16" s="50"/>
      <c r="Q16" s="50">
        <f>L16*$J$16</f>
        <v>0</v>
      </c>
      <c r="R16" s="50">
        <f>M16*$J$16</f>
        <v>220</v>
      </c>
      <c r="S16" s="50">
        <f>N16*$J$16</f>
        <v>330</v>
      </c>
      <c r="T16" s="50">
        <f>O16*$J$16</f>
        <v>0</v>
      </c>
      <c r="U16" s="47"/>
    </row>
    <row r="17" spans="1:21" ht="12">
      <c r="A17" s="10" t="s">
        <v>24</v>
      </c>
      <c r="B17" s="39"/>
      <c r="C17" s="8"/>
      <c r="D17" s="8"/>
      <c r="E17" s="12" t="s">
        <v>25</v>
      </c>
      <c r="F17" s="9"/>
      <c r="I17" s="53" t="s">
        <v>26</v>
      </c>
      <c r="J17" s="11">
        <v>16</v>
      </c>
      <c r="K17" s="55"/>
      <c r="L17" s="11">
        <v>0</v>
      </c>
      <c r="M17" s="11">
        <v>20</v>
      </c>
      <c r="N17" s="11">
        <v>0</v>
      </c>
      <c r="O17" s="11">
        <v>3</v>
      </c>
      <c r="P17" s="50"/>
      <c r="Q17" s="50">
        <f>L17*$J$17</f>
        <v>0</v>
      </c>
      <c r="R17" s="50">
        <f>M17*$J$17</f>
        <v>320</v>
      </c>
      <c r="S17" s="50">
        <f>N17*$J$17</f>
        <v>0</v>
      </c>
      <c r="T17" s="50">
        <f>O17*$J$17</f>
        <v>48</v>
      </c>
      <c r="U17" s="47"/>
    </row>
    <row r="18" spans="1:21" ht="12">
      <c r="A18" s="10"/>
      <c r="B18" s="39"/>
      <c r="C18" s="8"/>
      <c r="D18" s="8"/>
      <c r="E18" s="44"/>
      <c r="F18" s="9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  <c r="U18" s="47"/>
    </row>
    <row r="19" spans="1:21" ht="12">
      <c r="A19" s="10" t="s">
        <v>27</v>
      </c>
      <c r="B19" s="39"/>
      <c r="C19" s="8"/>
      <c r="D19" s="8"/>
      <c r="E19" s="13">
        <v>6858</v>
      </c>
      <c r="F19" s="9"/>
      <c r="I19" s="50" t="s">
        <v>28</v>
      </c>
      <c r="J19" s="11">
        <v>20</v>
      </c>
      <c r="K19" s="50">
        <f>J19</f>
        <v>20</v>
      </c>
      <c r="L19" s="11">
        <v>15</v>
      </c>
      <c r="M19" s="11">
        <v>10</v>
      </c>
      <c r="N19" s="11">
        <v>0</v>
      </c>
      <c r="O19" s="11">
        <v>3</v>
      </c>
      <c r="P19" s="50"/>
      <c r="Q19" s="50">
        <f>L19*$J$19</f>
        <v>300</v>
      </c>
      <c r="R19" s="50">
        <f>M19*$J$19</f>
        <v>200</v>
      </c>
      <c r="S19" s="50">
        <f>N19*$J$19</f>
        <v>0</v>
      </c>
      <c r="T19" s="50">
        <f>O19*$J$19</f>
        <v>60</v>
      </c>
      <c r="U19" s="47"/>
    </row>
    <row r="20" spans="1:21" ht="12">
      <c r="A20" s="10" t="s">
        <v>29</v>
      </c>
      <c r="B20" s="39"/>
      <c r="C20" s="8"/>
      <c r="D20" s="8"/>
      <c r="E20" s="44"/>
      <c r="F20" s="9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  <c r="U20" s="47"/>
    </row>
    <row r="21" spans="1:21" ht="12">
      <c r="A21" s="10"/>
      <c r="B21" s="39"/>
      <c r="C21" s="8"/>
      <c r="D21" s="8"/>
      <c r="E21" s="44"/>
      <c r="F21" s="9"/>
      <c r="I21" s="50" t="s">
        <v>30</v>
      </c>
      <c r="J21" s="11">
        <v>6</v>
      </c>
      <c r="K21" s="50">
        <f>J21</f>
        <v>6</v>
      </c>
      <c r="L21" s="11">
        <v>10</v>
      </c>
      <c r="M21" s="11">
        <v>5</v>
      </c>
      <c r="N21" s="11">
        <v>0</v>
      </c>
      <c r="O21" s="11">
        <v>10</v>
      </c>
      <c r="P21" s="50"/>
      <c r="Q21" s="50">
        <f>L21*$J21</f>
        <v>60</v>
      </c>
      <c r="R21" s="50">
        <f>M21*$J21</f>
        <v>30</v>
      </c>
      <c r="S21" s="50">
        <f>N21*$J21</f>
        <v>0</v>
      </c>
      <c r="T21" s="50">
        <f>O21*$J21</f>
        <v>60</v>
      </c>
      <c r="U21" s="47"/>
    </row>
    <row r="22" spans="1:21" ht="12">
      <c r="A22" s="10" t="s">
        <v>31</v>
      </c>
      <c r="B22" s="39"/>
      <c r="C22" s="8"/>
      <c r="D22" s="8"/>
      <c r="E22" s="13">
        <v>10</v>
      </c>
      <c r="F22" s="9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  <c r="U22" s="47"/>
    </row>
    <row r="23" spans="1:21" ht="12">
      <c r="A23" s="10" t="s">
        <v>32</v>
      </c>
      <c r="B23" s="39"/>
      <c r="C23" s="8"/>
      <c r="D23" s="8"/>
      <c r="E23" s="44"/>
      <c r="F23" s="9"/>
      <c r="I23" s="50" t="s">
        <v>33</v>
      </c>
      <c r="J23" s="11">
        <v>110</v>
      </c>
      <c r="K23" s="50">
        <f>J23</f>
        <v>110</v>
      </c>
      <c r="L23" s="11">
        <v>10</v>
      </c>
      <c r="M23" s="11">
        <v>0</v>
      </c>
      <c r="N23" s="11">
        <v>0</v>
      </c>
      <c r="O23" s="11">
        <v>15</v>
      </c>
      <c r="P23" s="50"/>
      <c r="Q23" s="50">
        <f>L23*$J$23</f>
        <v>1100</v>
      </c>
      <c r="R23" s="50">
        <f>M23*$J$23</f>
        <v>0</v>
      </c>
      <c r="S23" s="50">
        <f>N23*$J$23</f>
        <v>0</v>
      </c>
      <c r="T23" s="50">
        <f>O23*$J$23</f>
        <v>1650</v>
      </c>
      <c r="U23" s="47"/>
    </row>
    <row r="24" spans="1:21" ht="12">
      <c r="A24" s="10"/>
      <c r="B24" s="39"/>
      <c r="C24" s="8"/>
      <c r="D24" s="8"/>
      <c r="E24" s="44"/>
      <c r="F24" s="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7"/>
    </row>
    <row r="25" spans="1:21" ht="12">
      <c r="A25" s="10" t="s">
        <v>34</v>
      </c>
      <c r="B25" s="39"/>
      <c r="C25" s="8"/>
      <c r="D25" s="8"/>
      <c r="E25" s="13">
        <v>5</v>
      </c>
      <c r="F25" s="9"/>
      <c r="I25" s="50" t="s">
        <v>35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  <c r="U25" s="47"/>
    </row>
    <row r="26" spans="1:21" ht="12">
      <c r="A26" s="10" t="s">
        <v>36</v>
      </c>
      <c r="B26" s="39"/>
      <c r="C26" s="8"/>
      <c r="D26" s="8"/>
      <c r="E26" s="44"/>
      <c r="F26" s="9"/>
      <c r="I26" s="53" t="s">
        <v>37</v>
      </c>
      <c r="J26" s="11">
        <v>90</v>
      </c>
      <c r="K26" s="56"/>
      <c r="L26" s="11">
        <v>10</v>
      </c>
      <c r="M26" s="11">
        <v>0</v>
      </c>
      <c r="N26" s="11">
        <v>0</v>
      </c>
      <c r="O26" s="11">
        <v>15</v>
      </c>
      <c r="P26" s="50"/>
      <c r="Q26" s="50">
        <f>L26*$J$26</f>
        <v>900</v>
      </c>
      <c r="R26" s="50">
        <f>M26*$J$26</f>
        <v>0</v>
      </c>
      <c r="S26" s="50">
        <f>N26*$J$26</f>
        <v>0</v>
      </c>
      <c r="T26" s="50">
        <f>O26*$J$26</f>
        <v>1350</v>
      </c>
      <c r="U26" s="47"/>
    </row>
    <row r="27" spans="1:21" ht="12">
      <c r="A27" s="10"/>
      <c r="B27" s="39"/>
      <c r="C27" s="8"/>
      <c r="D27" s="8"/>
      <c r="E27" s="44"/>
      <c r="F27" s="9"/>
      <c r="I27" s="53" t="s">
        <v>38</v>
      </c>
      <c r="J27" s="11">
        <v>68</v>
      </c>
      <c r="K27" s="56"/>
      <c r="L27" s="11">
        <v>15</v>
      </c>
      <c r="M27" s="11">
        <v>5</v>
      </c>
      <c r="N27" s="11">
        <v>0</v>
      </c>
      <c r="O27" s="11">
        <v>10</v>
      </c>
      <c r="P27" s="50"/>
      <c r="Q27" s="50">
        <f>L27*$J$27</f>
        <v>1020</v>
      </c>
      <c r="R27" s="50">
        <f>M27*$J$27</f>
        <v>340</v>
      </c>
      <c r="S27" s="50">
        <f>N27*$J$27</f>
        <v>0</v>
      </c>
      <c r="T27" s="50">
        <f>O27*$J$27</f>
        <v>680</v>
      </c>
      <c r="U27" s="47"/>
    </row>
    <row r="28" spans="1:21" ht="12">
      <c r="A28" s="10" t="s">
        <v>39</v>
      </c>
      <c r="B28" s="39"/>
      <c r="C28" s="8"/>
      <c r="D28" s="8"/>
      <c r="E28" s="13">
        <v>44</v>
      </c>
      <c r="F28" s="9"/>
      <c r="I28" s="53" t="s">
        <v>40</v>
      </c>
      <c r="J28" s="11">
        <v>68</v>
      </c>
      <c r="K28" s="56"/>
      <c r="L28" s="11">
        <v>10</v>
      </c>
      <c r="M28" s="11">
        <v>10</v>
      </c>
      <c r="N28" s="11">
        <v>0</v>
      </c>
      <c r="O28" s="11">
        <v>10</v>
      </c>
      <c r="P28" s="50"/>
      <c r="Q28" s="50">
        <f>L28*$J$28</f>
        <v>680</v>
      </c>
      <c r="R28" s="50">
        <f>M28*$J$28</f>
        <v>680</v>
      </c>
      <c r="S28" s="50">
        <f>N28*$J$28</f>
        <v>0</v>
      </c>
      <c r="T28" s="50">
        <f>O28*$J$28</f>
        <v>680</v>
      </c>
      <c r="U28" s="47"/>
    </row>
    <row r="29" spans="1:21" ht="12">
      <c r="A29" s="10"/>
      <c r="B29" s="39"/>
      <c r="C29" s="8"/>
      <c r="D29" s="8"/>
      <c r="E29" s="44"/>
      <c r="F29" s="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47"/>
    </row>
    <row r="30" spans="1:21" ht="12">
      <c r="A30" s="10" t="s">
        <v>41</v>
      </c>
      <c r="B30" s="39"/>
      <c r="C30" s="8"/>
      <c r="D30" s="8"/>
      <c r="E30" s="13">
        <v>67</v>
      </c>
      <c r="F30" s="9"/>
      <c r="I30" s="50" t="s">
        <v>42</v>
      </c>
      <c r="J30" s="11">
        <v>10</v>
      </c>
      <c r="K30" s="59">
        <f>J30</f>
        <v>10</v>
      </c>
      <c r="L30" s="11">
        <v>25</v>
      </c>
      <c r="M30" s="11">
        <v>5</v>
      </c>
      <c r="N30" s="11">
        <v>0</v>
      </c>
      <c r="O30" s="11">
        <v>5</v>
      </c>
      <c r="P30" s="50"/>
      <c r="Q30" s="50">
        <f>L30*$J$30</f>
        <v>250</v>
      </c>
      <c r="R30" s="50">
        <f>M30*$J$30</f>
        <v>50</v>
      </c>
      <c r="S30" s="50">
        <f>N30*$J$30</f>
        <v>0</v>
      </c>
      <c r="T30" s="50">
        <f>O30*$J$30</f>
        <v>50</v>
      </c>
      <c r="U30" s="47"/>
    </row>
    <row r="31" spans="1:21" ht="12">
      <c r="A31" s="10"/>
      <c r="B31" s="39"/>
      <c r="C31" s="8"/>
      <c r="D31" s="8"/>
      <c r="E31" s="44"/>
      <c r="F31" s="9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  <c r="U31" s="47"/>
    </row>
    <row r="32" spans="1:21" ht="12">
      <c r="A32" s="10" t="s">
        <v>44</v>
      </c>
      <c r="B32" s="39"/>
      <c r="C32" s="8"/>
      <c r="D32" s="8"/>
      <c r="E32" s="13">
        <v>12</v>
      </c>
      <c r="F32" s="9"/>
      <c r="G32" s="14">
        <f>(42.63*(1-($E$28*16.02*(200+$E$30)/300000))/$E$32)</f>
        <v>1.3238632820000003</v>
      </c>
      <c r="I32" s="50" t="s">
        <v>45</v>
      </c>
      <c r="J32" s="50" t="s">
        <v>16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  <c r="U32" s="47"/>
    </row>
    <row r="33" spans="1:21" ht="12">
      <c r="A33" s="10"/>
      <c r="B33" s="39"/>
      <c r="C33" s="8"/>
      <c r="D33" s="8"/>
      <c r="E33" s="44"/>
      <c r="F33" s="9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47"/>
    </row>
    <row r="34" spans="1:21" ht="12">
      <c r="A34" s="10" t="s">
        <v>46</v>
      </c>
      <c r="B34" s="39"/>
      <c r="C34" s="8"/>
      <c r="D34" s="8"/>
      <c r="E34" s="13">
        <v>360</v>
      </c>
      <c r="F34" s="9"/>
      <c r="I34" s="50" t="s">
        <v>47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7"/>
    </row>
    <row r="35" spans="1:21" ht="12">
      <c r="A35" s="10"/>
      <c r="B35" s="39"/>
      <c r="C35" s="8"/>
      <c r="D35" s="8"/>
      <c r="E35" s="44"/>
      <c r="F35" s="9"/>
      <c r="I35" s="53" t="s">
        <v>48</v>
      </c>
      <c r="J35" s="11">
        <v>48</v>
      </c>
      <c r="K35" s="56"/>
      <c r="L35" s="11">
        <v>5</v>
      </c>
      <c r="M35" s="11">
        <v>0</v>
      </c>
      <c r="N35" s="11">
        <v>0</v>
      </c>
      <c r="O35" s="11">
        <v>2</v>
      </c>
      <c r="P35" s="50"/>
      <c r="Q35" s="50">
        <f>L35*$J$35</f>
        <v>240</v>
      </c>
      <c r="R35" s="50">
        <f>M35*$J$35</f>
        <v>0</v>
      </c>
      <c r="S35" s="50">
        <f>N35*$J$35</f>
        <v>0</v>
      </c>
      <c r="T35" s="50">
        <f>O35*$J$35</f>
        <v>96</v>
      </c>
      <c r="U35" s="47"/>
    </row>
    <row r="36" spans="1:21" ht="12">
      <c r="A36" s="10" t="s">
        <v>49</v>
      </c>
      <c r="B36" s="39"/>
      <c r="C36" s="8"/>
      <c r="D36" s="8"/>
      <c r="E36" s="13">
        <v>150</v>
      </c>
      <c r="F36" s="9"/>
      <c r="I36" s="53" t="s">
        <v>50</v>
      </c>
      <c r="J36" s="11">
        <v>48</v>
      </c>
      <c r="K36" s="56"/>
      <c r="L36" s="11">
        <v>10</v>
      </c>
      <c r="M36" s="11">
        <v>0</v>
      </c>
      <c r="N36" s="11">
        <v>0</v>
      </c>
      <c r="O36" s="11">
        <v>3</v>
      </c>
      <c r="P36" s="50"/>
      <c r="Q36" s="50">
        <f>L36*$J$36</f>
        <v>480</v>
      </c>
      <c r="R36" s="50">
        <f>M36*$J$36</f>
        <v>0</v>
      </c>
      <c r="S36" s="50">
        <f>N36*$J$36</f>
        <v>0</v>
      </c>
      <c r="T36" s="50">
        <f>O36*$J$36</f>
        <v>144</v>
      </c>
      <c r="U36" s="47"/>
    </row>
    <row r="37" spans="1:21" ht="12">
      <c r="A37" s="10" t="s">
        <v>51</v>
      </c>
      <c r="B37" s="39"/>
      <c r="C37" s="8"/>
      <c r="D37" s="8"/>
      <c r="E37" s="9"/>
      <c r="F37" s="9"/>
      <c r="I37" s="53" t="s">
        <v>52</v>
      </c>
      <c r="J37" s="11">
        <v>72</v>
      </c>
      <c r="K37" s="56"/>
      <c r="L37" s="11">
        <v>10</v>
      </c>
      <c r="M37" s="11">
        <v>5</v>
      </c>
      <c r="N37" s="11">
        <v>0</v>
      </c>
      <c r="O37" s="11">
        <v>4</v>
      </c>
      <c r="P37" s="50"/>
      <c r="Q37" s="50">
        <f>L37*$J$37</f>
        <v>720</v>
      </c>
      <c r="R37" s="50">
        <f>M37*$J$37</f>
        <v>360</v>
      </c>
      <c r="S37" s="50">
        <f>N37*$J$37</f>
        <v>0</v>
      </c>
      <c r="T37" s="50">
        <f>O37*$J$37</f>
        <v>288</v>
      </c>
      <c r="U37" s="47"/>
    </row>
    <row r="38" spans="1:21" ht="12">
      <c r="A38" s="45" t="s">
        <v>97</v>
      </c>
      <c r="B38" s="40"/>
      <c r="C38" s="40"/>
      <c r="D38" s="40"/>
      <c r="E38" s="40"/>
      <c r="F38" s="40"/>
      <c r="G38" s="4"/>
      <c r="I38" s="53" t="s">
        <v>53</v>
      </c>
      <c r="J38" s="11">
        <v>48</v>
      </c>
      <c r="K38" s="56"/>
      <c r="L38" s="11">
        <v>10</v>
      </c>
      <c r="M38" s="11">
        <v>10</v>
      </c>
      <c r="N38" s="11">
        <v>0</v>
      </c>
      <c r="O38" s="11">
        <v>4</v>
      </c>
      <c r="P38" s="50"/>
      <c r="Q38" s="50">
        <f>L38*$J$38</f>
        <v>480</v>
      </c>
      <c r="R38" s="50">
        <f>M38*$J$38</f>
        <v>480</v>
      </c>
      <c r="S38" s="50">
        <f>N38*$J$38</f>
        <v>0</v>
      </c>
      <c r="T38" s="50">
        <f>O38*$J$38</f>
        <v>192</v>
      </c>
      <c r="U38" s="47"/>
    </row>
    <row r="39" spans="9:21" ht="12">
      <c r="I39" s="53" t="s">
        <v>54</v>
      </c>
      <c r="J39" s="11">
        <v>156</v>
      </c>
      <c r="K39" s="56"/>
      <c r="L39" s="11">
        <v>15</v>
      </c>
      <c r="M39" s="11">
        <v>10</v>
      </c>
      <c r="N39" s="11">
        <v>0</v>
      </c>
      <c r="O39" s="11">
        <v>10</v>
      </c>
      <c r="P39" s="50"/>
      <c r="Q39" s="50">
        <f>L39*$J$39</f>
        <v>2340</v>
      </c>
      <c r="R39" s="50">
        <f>M39*$J$39</f>
        <v>1560</v>
      </c>
      <c r="S39" s="50">
        <f>N39*$J$39</f>
        <v>0</v>
      </c>
      <c r="T39" s="50">
        <f>O39*$J$39</f>
        <v>1560</v>
      </c>
      <c r="U39" s="47"/>
    </row>
    <row r="40" spans="1:21" ht="12">
      <c r="A40" s="15" t="s">
        <v>55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  <c r="U40" s="47"/>
    </row>
    <row r="41" spans="1:21" ht="12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47</v>
      </c>
      <c r="J41" s="50" t="s">
        <v>16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  <c r="U41" s="47"/>
    </row>
    <row r="42" spans="1:21" ht="12">
      <c r="A42" s="19"/>
      <c r="B42" s="19" t="s">
        <v>56</v>
      </c>
      <c r="C42" s="17" t="s">
        <v>57</v>
      </c>
      <c r="D42" s="17" t="s">
        <v>58</v>
      </c>
      <c r="E42" s="18" t="s">
        <v>59</v>
      </c>
      <c r="F42" s="24" t="s">
        <v>59</v>
      </c>
      <c r="G42" s="19" t="s">
        <v>60</v>
      </c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47"/>
    </row>
    <row r="43" spans="1:21" ht="12">
      <c r="A43" s="19" t="s">
        <v>61</v>
      </c>
      <c r="B43" s="16" t="s">
        <v>58</v>
      </c>
      <c r="C43" s="25" t="s">
        <v>62</v>
      </c>
      <c r="D43" s="17" t="s">
        <v>63</v>
      </c>
      <c r="E43" s="18" t="s">
        <v>64</v>
      </c>
      <c r="F43" s="24" t="s">
        <v>65</v>
      </c>
      <c r="G43" s="26" t="s">
        <v>66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7"/>
    </row>
    <row r="44" spans="1:21" ht="12">
      <c r="A44" s="19" t="s">
        <v>67</v>
      </c>
      <c r="B44" s="16" t="s">
        <v>68</v>
      </c>
      <c r="C44" s="17" t="s">
        <v>58</v>
      </c>
      <c r="D44" s="17"/>
      <c r="E44" s="18" t="s">
        <v>69</v>
      </c>
      <c r="F44" s="24" t="s">
        <v>70</v>
      </c>
      <c r="G44" s="19"/>
      <c r="H44" s="19"/>
      <c r="I44" s="50"/>
      <c r="J44" s="50"/>
      <c r="K44" s="50"/>
      <c r="L44" s="50"/>
      <c r="M44" s="50"/>
      <c r="N44" s="50"/>
      <c r="O44" s="50" t="s">
        <v>100</v>
      </c>
      <c r="P44" s="50"/>
      <c r="Q44" s="49">
        <f>SUM(Q14:Q39)</f>
        <v>8570</v>
      </c>
      <c r="R44" s="49">
        <f>SUM(R14:R39)</f>
        <v>4460</v>
      </c>
      <c r="S44" s="49">
        <f>SUM(S14:S39)</f>
        <v>820</v>
      </c>
      <c r="T44" s="49">
        <f>SUM(T14:T39)</f>
        <v>6858</v>
      </c>
      <c r="U44" s="47"/>
    </row>
    <row r="45" spans="1:16" ht="12">
      <c r="A45" s="19"/>
      <c r="B45" s="16"/>
      <c r="C45" s="19" t="s">
        <v>71</v>
      </c>
      <c r="D45" s="17" t="s">
        <v>72</v>
      </c>
      <c r="E45" s="18" t="s">
        <v>73</v>
      </c>
      <c r="F45" s="24" t="s">
        <v>74</v>
      </c>
      <c r="G45" s="19"/>
      <c r="H45" s="19"/>
      <c r="P45" s="60" t="s">
        <v>102</v>
      </c>
    </row>
    <row r="46" spans="1:8" ht="12">
      <c r="A46" s="26" t="s">
        <v>72</v>
      </c>
      <c r="B46" s="16" t="s">
        <v>72</v>
      </c>
      <c r="C46" s="17"/>
      <c r="D46" s="17" t="s">
        <v>75</v>
      </c>
      <c r="E46" s="18" t="s">
        <v>76</v>
      </c>
      <c r="F46" s="24" t="s">
        <v>76</v>
      </c>
      <c r="G46" s="26" t="s">
        <v>77</v>
      </c>
      <c r="H46" s="19"/>
    </row>
    <row r="47" spans="1:8" ht="12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">
      <c r="A48" s="19">
        <v>4</v>
      </c>
      <c r="B48" s="17">
        <f>IF(($E$19*12/(1-($E$22+$E$25+$G$32)/100))/($E$32*$A48*$E$28*(1-($E$30/100)))&lt;2*$E$15,"Don't Use",($E$19*12/(1-($E$22+$E$25+$G$32)/100))/($E$32*$A48*$E$28*(1-($E$30/100))))</f>
        <v>141.1137237306198</v>
      </c>
      <c r="C48" s="17">
        <f aca="true" t="shared" si="0" ref="C48:C59">IF(B48="Don't Use","Don't Use",ROUND(((+$E$32/12)*$E$34/$E$36+0.4),0))</f>
        <v>3</v>
      </c>
      <c r="D48" s="17">
        <f aca="true" t="shared" si="1" ref="D48:D59">IF(B48="Don't Use","Don't Use",((($E$19*$E$34/(1-($E$22+$E$25+$G$32)/100))/($E$28*(1-($E$30/100)))-(1.365*($A48^2)*$B48*$C48))/$C48)/($B48*$A48)+2.73*$A48)</f>
        <v>125.45999999999998</v>
      </c>
      <c r="E48" s="18">
        <f aca="true" t="shared" si="2" ref="E48:E59">IF(B48="Don't Use","Don't Use",($E$19/(1-($E$22+$E$25+$G$32)/100)*($E$34/2000)*(1+0.0225*($B48/$I$53-1))))</f>
        <v>1543.2214652266432</v>
      </c>
      <c r="F48" s="18">
        <f aca="true" t="shared" si="3" ref="F48:F59">IF(B48="Don't Use","Don't Use",+$E48*($E$22+$E$25+$G$32+2.25*($B48/$I$53-1))/100)</f>
        <v>323.0063900518989</v>
      </c>
      <c r="G48" s="18">
        <f aca="true" t="shared" si="4" ref="G48:G59">IF(B48="Don't Use","Don't Use",($F48/$E48)*100)</f>
        <v>20.93065689728862</v>
      </c>
      <c r="H48" s="19"/>
    </row>
    <row r="49" spans="1:8" ht="12">
      <c r="A49" s="19">
        <v>6</v>
      </c>
      <c r="B49" s="17">
        <f aca="true" t="shared" si="5" ref="B49:B59">IF(($E$19*12/(1-($E$22+$E$25+$G$32)/100))/($E$32*$A49*$E$28*(1-($E$30/100)))&lt;2*$E$15,"Don't Use",($E$19*12/(1-($E$22+$E$25+$G$32)/100))/($E$32*$A49*$E$28*(1-($E$30/100))))</f>
        <v>94.0758158204132</v>
      </c>
      <c r="C49" s="17">
        <f t="shared" si="0"/>
        <v>3</v>
      </c>
      <c r="D49" s="17">
        <f t="shared" si="1"/>
        <v>128.19</v>
      </c>
      <c r="E49" s="18">
        <f t="shared" si="2"/>
        <v>1509.5029697572886</v>
      </c>
      <c r="F49" s="18">
        <f t="shared" si="3"/>
        <v>281.44771970331055</v>
      </c>
      <c r="G49" s="18">
        <f t="shared" si="4"/>
        <v>18.645059025525747</v>
      </c>
      <c r="H49" s="19"/>
    </row>
    <row r="50" spans="1:8" ht="12">
      <c r="A50" s="19">
        <v>8</v>
      </c>
      <c r="B50" s="17">
        <f t="shared" si="5"/>
        <v>70.5568618653099</v>
      </c>
      <c r="C50" s="17">
        <f t="shared" si="0"/>
        <v>3</v>
      </c>
      <c r="D50" s="17">
        <f t="shared" si="1"/>
        <v>130.92</v>
      </c>
      <c r="E50" s="18">
        <f t="shared" si="2"/>
        <v>1492.6437220226117</v>
      </c>
      <c r="F50" s="18">
        <f t="shared" si="3"/>
        <v>261.24638644014493</v>
      </c>
      <c r="G50" s="18">
        <f t="shared" si="4"/>
        <v>17.502260089644313</v>
      </c>
      <c r="H50" s="19"/>
    </row>
    <row r="51" spans="1:8" ht="12">
      <c r="A51" s="19">
        <v>9</v>
      </c>
      <c r="B51" s="17">
        <f t="shared" si="5"/>
        <v>62.71721054694213</v>
      </c>
      <c r="C51" s="17">
        <f t="shared" si="0"/>
        <v>3</v>
      </c>
      <c r="D51" s="17">
        <f t="shared" si="1"/>
        <v>132.285</v>
      </c>
      <c r="E51" s="18">
        <f t="shared" si="2"/>
        <v>1487.023972777719</v>
      </c>
      <c r="F51" s="18">
        <f t="shared" si="3"/>
        <v>254.59823859851613</v>
      </c>
      <c r="G51" s="18">
        <f t="shared" si="4"/>
        <v>17.121327111017166</v>
      </c>
      <c r="H51" s="19"/>
    </row>
    <row r="52" spans="1:8" ht="12">
      <c r="A52" s="19">
        <v>10</v>
      </c>
      <c r="B52" s="17">
        <f t="shared" si="5"/>
        <v>56.44548949224791</v>
      </c>
      <c r="C52" s="17">
        <f t="shared" si="0"/>
        <v>3</v>
      </c>
      <c r="D52" s="17">
        <f t="shared" si="1"/>
        <v>133.65</v>
      </c>
      <c r="E52" s="18">
        <f t="shared" si="2"/>
        <v>1482.5281733818053</v>
      </c>
      <c r="F52" s="18">
        <f t="shared" si="3"/>
        <v>249.31054709380663</v>
      </c>
      <c r="G52" s="18">
        <f t="shared" si="4"/>
        <v>16.816580728115447</v>
      </c>
      <c r="H52" s="19"/>
    </row>
    <row r="53" spans="1:9" ht="12">
      <c r="A53" s="33">
        <v>12</v>
      </c>
      <c r="B53" s="17">
        <f t="shared" si="5"/>
        <v>47.0379079102066</v>
      </c>
      <c r="C53" s="34">
        <f t="shared" si="0"/>
        <v>3</v>
      </c>
      <c r="D53" s="34">
        <f t="shared" si="1"/>
        <v>136.38</v>
      </c>
      <c r="E53" s="36">
        <f t="shared" si="2"/>
        <v>1475.7844742879345</v>
      </c>
      <c r="F53" s="36">
        <f t="shared" si="3"/>
        <v>241.4303877843983</v>
      </c>
      <c r="G53" s="36">
        <f t="shared" si="4"/>
        <v>16.359461153762876</v>
      </c>
      <c r="H53" s="36" t="s">
        <v>78</v>
      </c>
      <c r="I53" s="37">
        <f>($E$19*12/(1-($E$22+$E$25)/100))/($E$32*12*$E$28*(1-($E$30/100)))</f>
        <v>46.305298979095774</v>
      </c>
    </row>
    <row r="54" spans="1:8" ht="12">
      <c r="A54" s="19">
        <v>14</v>
      </c>
      <c r="B54" s="17">
        <f t="shared" si="5"/>
        <v>40.318206780177086</v>
      </c>
      <c r="C54" s="17">
        <f t="shared" si="0"/>
        <v>3</v>
      </c>
      <c r="D54" s="17">
        <f t="shared" si="1"/>
        <v>139.10999999999999</v>
      </c>
      <c r="E54" s="18">
        <f t="shared" si="2"/>
        <v>1470.967546363741</v>
      </c>
      <c r="F54" s="18">
        <f t="shared" si="3"/>
        <v>235.83944962697623</v>
      </c>
      <c r="G54" s="18">
        <f t="shared" si="4"/>
        <v>16.032947172082466</v>
      </c>
      <c r="H54" s="17"/>
    </row>
    <row r="55" spans="1:8" ht="12">
      <c r="A55" s="19">
        <v>16</v>
      </c>
      <c r="B55" s="17">
        <f t="shared" si="5"/>
        <v>35.27843093265495</v>
      </c>
      <c r="C55" s="17">
        <f t="shared" si="0"/>
        <v>3</v>
      </c>
      <c r="D55" s="17">
        <f t="shared" si="1"/>
        <v>141.83999999999997</v>
      </c>
      <c r="E55" s="18">
        <f t="shared" si="2"/>
        <v>1467.3548504205958</v>
      </c>
      <c r="F55" s="18">
        <f t="shared" si="3"/>
        <v>231.6668889343071</v>
      </c>
      <c r="G55" s="18">
        <f t="shared" si="4"/>
        <v>15.788061685822157</v>
      </c>
      <c r="H55" s="17"/>
    </row>
    <row r="56" spans="1:8" ht="12">
      <c r="A56" s="19">
        <v>18</v>
      </c>
      <c r="B56" s="17">
        <f t="shared" si="5"/>
        <v>31.358605273471063</v>
      </c>
      <c r="C56" s="17">
        <f t="shared" si="0"/>
        <v>3</v>
      </c>
      <c r="D56" s="17">
        <f t="shared" si="1"/>
        <v>144.57</v>
      </c>
      <c r="E56" s="18">
        <f t="shared" si="2"/>
        <v>1464.5449757981496</v>
      </c>
      <c r="F56" s="18">
        <f t="shared" si="3"/>
        <v>228.43379679579996</v>
      </c>
      <c r="G56" s="18">
        <f t="shared" si="4"/>
        <v>15.597595196508582</v>
      </c>
      <c r="H56" s="17"/>
    </row>
    <row r="57" spans="1:8" ht="12">
      <c r="A57" s="19">
        <v>20</v>
      </c>
      <c r="B57" s="17">
        <f t="shared" si="5"/>
        <v>28.222744746123954</v>
      </c>
      <c r="C57" s="17">
        <f t="shared" si="0"/>
        <v>3</v>
      </c>
      <c r="D57" s="17">
        <f t="shared" si="1"/>
        <v>147.3</v>
      </c>
      <c r="E57" s="18">
        <f t="shared" si="2"/>
        <v>1462.2970761001927</v>
      </c>
      <c r="F57" s="18">
        <f t="shared" si="3"/>
        <v>225.85502977714268</v>
      </c>
      <c r="G57" s="18">
        <f t="shared" si="4"/>
        <v>15.445222005057724</v>
      </c>
      <c r="H57" s="17"/>
    </row>
    <row r="58" spans="1:8" ht="12">
      <c r="A58" s="19">
        <v>22</v>
      </c>
      <c r="B58" s="17">
        <f t="shared" si="5"/>
        <v>25.657040678294504</v>
      </c>
      <c r="C58" s="17">
        <f t="shared" si="0"/>
        <v>3</v>
      </c>
      <c r="D58" s="17">
        <f t="shared" si="1"/>
        <v>150.03</v>
      </c>
      <c r="E58" s="18">
        <f t="shared" si="2"/>
        <v>1460.4578854382278</v>
      </c>
      <c r="F58" s="18">
        <f t="shared" si="3"/>
        <v>223.75022482280212</v>
      </c>
      <c r="G58" s="18">
        <f t="shared" si="4"/>
        <v>15.320553030234297</v>
      </c>
      <c r="H58" s="17"/>
    </row>
    <row r="59" spans="1:8" ht="12">
      <c r="A59" s="19">
        <v>24</v>
      </c>
      <c r="B59" s="17">
        <f t="shared" si="5"/>
        <v>23.5189539551033</v>
      </c>
      <c r="C59" s="17">
        <f t="shared" si="0"/>
        <v>3</v>
      </c>
      <c r="D59" s="17">
        <f t="shared" si="1"/>
        <v>152.76</v>
      </c>
      <c r="E59" s="18">
        <f t="shared" si="2"/>
        <v>1458.925226553257</v>
      </c>
      <c r="F59" s="18">
        <f t="shared" si="3"/>
        <v>221.99972373607068</v>
      </c>
      <c r="G59" s="18">
        <f t="shared" si="4"/>
        <v>15.21666221788144</v>
      </c>
      <c r="H59" s="19"/>
    </row>
    <row r="60" spans="1:8" ht="12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">
      <c r="A61" s="5" t="s">
        <v>79</v>
      </c>
      <c r="B61" s="1"/>
      <c r="C61" s="2"/>
      <c r="D61" s="2"/>
      <c r="E61" s="3"/>
      <c r="F61" s="3"/>
    </row>
    <row r="62" spans="1:6" ht="12">
      <c r="A62" s="5" t="s">
        <v>93</v>
      </c>
      <c r="B62" s="1"/>
      <c r="C62" s="2"/>
      <c r="D62" s="2"/>
      <c r="E62" s="3"/>
      <c r="F62" s="3"/>
    </row>
    <row r="63" spans="2:6" ht="12">
      <c r="B63" s="1"/>
      <c r="C63" s="2"/>
      <c r="D63" s="2"/>
      <c r="E63" s="3"/>
      <c r="F63" s="3"/>
    </row>
    <row r="64" spans="1:6" ht="12">
      <c r="A64" t="s">
        <v>80</v>
      </c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5" right="0.5" top="0.5" bottom="0.5" header="0.5" footer="0.5"/>
  <pageSetup horizontalDpi="600" verticalDpi="60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14.28125" style="0" bestFit="1" customWidth="1"/>
    <col min="3" max="4" width="10.00390625" style="0" customWidth="1"/>
    <col min="5" max="5" width="10.140625" style="0" customWidth="1"/>
    <col min="6" max="6" width="11.00390625" style="0" customWidth="1"/>
    <col min="7" max="7" width="12.421875" style="0" customWidth="1"/>
    <col min="8" max="8" width="5.7109375" style="0" customWidth="1"/>
    <col min="9" max="9" width="19.57421875" style="0" customWidth="1"/>
    <col min="16" max="16" width="20.140625" style="0" customWidth="1"/>
  </cols>
  <sheetData>
    <row r="1" spans="1:6" ht="12">
      <c r="A1" s="60" t="s">
        <v>82</v>
      </c>
      <c r="B1" s="1"/>
      <c r="C1" s="2"/>
      <c r="D1" s="2"/>
      <c r="E1" s="3"/>
      <c r="F1" s="3"/>
    </row>
    <row r="2" spans="2:6" ht="12">
      <c r="B2" s="7">
        <v>40040</v>
      </c>
      <c r="C2" s="2"/>
      <c r="D2" s="2"/>
      <c r="E2" s="3"/>
      <c r="F2" s="3"/>
    </row>
    <row r="3" spans="1:6" ht="12">
      <c r="A3" t="s">
        <v>1</v>
      </c>
      <c r="B3" s="1"/>
      <c r="C3" s="2"/>
      <c r="D3" s="2"/>
      <c r="E3" s="3"/>
      <c r="F3" s="3"/>
    </row>
    <row r="4" spans="1:6" ht="12">
      <c r="A4" t="s">
        <v>2</v>
      </c>
      <c r="B4" s="1"/>
      <c r="C4" s="2"/>
      <c r="D4" s="2"/>
      <c r="E4" s="3"/>
      <c r="F4" s="3"/>
    </row>
    <row r="5" spans="1:6" ht="12">
      <c r="A5" t="s">
        <v>3</v>
      </c>
      <c r="B5" s="1"/>
      <c r="C5" s="2"/>
      <c r="D5" s="2"/>
      <c r="E5" s="3"/>
      <c r="F5" s="3"/>
    </row>
    <row r="6" spans="1:20" ht="12">
      <c r="A6" t="s">
        <v>4</v>
      </c>
      <c r="B6" s="1"/>
      <c r="C6" s="2"/>
      <c r="D6" s="2"/>
      <c r="E6" s="3"/>
      <c r="F6" s="3"/>
      <c r="H6" s="47"/>
      <c r="I6" s="49" t="s">
        <v>94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2">
      <c r="A7" t="s">
        <v>98</v>
      </c>
      <c r="B7" s="1"/>
      <c r="C7" s="2"/>
      <c r="D7" s="2"/>
      <c r="E7" s="3"/>
      <c r="F7" s="3"/>
      <c r="H7" s="47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</row>
    <row r="8" spans="1:20" ht="12">
      <c r="A8" t="s">
        <v>6</v>
      </c>
      <c r="B8" s="1"/>
      <c r="C8" s="2"/>
      <c r="D8" s="2"/>
      <c r="E8" s="3"/>
      <c r="F8" s="3"/>
      <c r="H8" s="47"/>
      <c r="I8" s="50"/>
      <c r="J8" s="50"/>
      <c r="K8" s="50"/>
      <c r="L8" s="50" t="s">
        <v>7</v>
      </c>
      <c r="M8" s="50" t="s">
        <v>8</v>
      </c>
      <c r="N8" s="50" t="s">
        <v>9</v>
      </c>
      <c r="O8" s="50" t="s">
        <v>10</v>
      </c>
      <c r="P8" s="50"/>
      <c r="Q8" s="50" t="s">
        <v>7</v>
      </c>
      <c r="R8" s="50" t="s">
        <v>8</v>
      </c>
      <c r="S8" s="50" t="s">
        <v>9</v>
      </c>
      <c r="T8" s="50" t="s">
        <v>10</v>
      </c>
    </row>
    <row r="9" spans="1:20" ht="12">
      <c r="A9" t="s">
        <v>11</v>
      </c>
      <c r="B9" s="1"/>
      <c r="C9" s="2"/>
      <c r="E9" s="58"/>
      <c r="F9" s="58"/>
      <c r="G9" s="47"/>
      <c r="H9" s="47"/>
      <c r="I9" s="50"/>
      <c r="J9" s="50" t="s">
        <v>12</v>
      </c>
      <c r="K9" s="50"/>
      <c r="L9" s="50" t="s">
        <v>13</v>
      </c>
      <c r="M9" s="50" t="s">
        <v>13</v>
      </c>
      <c r="N9" s="50" t="s">
        <v>13</v>
      </c>
      <c r="O9" s="50" t="s">
        <v>13</v>
      </c>
      <c r="P9" s="50"/>
      <c r="Q9" s="50" t="s">
        <v>13</v>
      </c>
      <c r="R9" s="50" t="s">
        <v>13</v>
      </c>
      <c r="S9" s="50" t="s">
        <v>13</v>
      </c>
      <c r="T9" s="50" t="s">
        <v>13</v>
      </c>
    </row>
    <row r="10" spans="1:20" ht="12">
      <c r="A10" s="6" t="s">
        <v>81</v>
      </c>
      <c r="B10" s="1"/>
      <c r="C10" s="2"/>
      <c r="D10" s="2"/>
      <c r="E10" s="3"/>
      <c r="F10" s="3"/>
      <c r="H10" s="47"/>
      <c r="I10" s="50"/>
      <c r="J10" s="50" t="s">
        <v>14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2:20" ht="12">
      <c r="B11" s="1"/>
      <c r="C11" s="2"/>
      <c r="D11" s="2"/>
      <c r="E11" s="3"/>
      <c r="F11" s="3"/>
      <c r="H11" s="47"/>
      <c r="I11" s="50" t="s">
        <v>15</v>
      </c>
      <c r="J11" s="50" t="s">
        <v>15</v>
      </c>
      <c r="K11" s="50" t="s">
        <v>16</v>
      </c>
      <c r="L11" s="52" t="s">
        <v>91</v>
      </c>
      <c r="M11" s="50"/>
      <c r="N11" s="50"/>
      <c r="O11" s="50"/>
      <c r="P11" s="50"/>
      <c r="Q11" s="52" t="s">
        <v>92</v>
      </c>
      <c r="R11" s="50"/>
      <c r="S11" s="50"/>
      <c r="T11" s="50"/>
    </row>
    <row r="12" spans="2:20" ht="12">
      <c r="B12" s="1"/>
      <c r="C12" s="8" t="s">
        <v>96</v>
      </c>
      <c r="D12" s="8"/>
      <c r="E12" s="9"/>
      <c r="F12" s="9"/>
      <c r="G12" s="10"/>
      <c r="H12" s="47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</row>
    <row r="13" spans="1:20" ht="12">
      <c r="A13" s="38" t="s">
        <v>21</v>
      </c>
      <c r="B13" s="39"/>
      <c r="C13" s="8"/>
      <c r="D13" s="8"/>
      <c r="E13" s="9"/>
      <c r="F13" s="9"/>
      <c r="H13" s="47"/>
      <c r="I13" s="50" t="s">
        <v>19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2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H14" s="47"/>
      <c r="I14" s="53" t="s">
        <v>20</v>
      </c>
      <c r="J14" s="11">
        <v>8</v>
      </c>
      <c r="K14" s="55"/>
      <c r="L14" s="11">
        <v>0</v>
      </c>
      <c r="M14" s="11">
        <v>0</v>
      </c>
      <c r="N14" s="11">
        <v>9.1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72.8</v>
      </c>
      <c r="T14" s="50">
        <f>O14*$J$14</f>
        <v>0</v>
      </c>
    </row>
    <row r="15" spans="1:20" ht="12">
      <c r="A15" s="10" t="s">
        <v>105</v>
      </c>
      <c r="B15" s="39"/>
      <c r="C15" s="8"/>
      <c r="D15" s="8"/>
      <c r="E15" s="13">
        <v>3</v>
      </c>
      <c r="F15" s="9"/>
      <c r="G15" s="47"/>
      <c r="H15" s="47"/>
      <c r="I15" s="53" t="s">
        <v>22</v>
      </c>
      <c r="J15" s="11">
        <v>22</v>
      </c>
      <c r="K15" s="55"/>
      <c r="L15" s="11">
        <v>0</v>
      </c>
      <c r="M15" s="11">
        <v>4.5</v>
      </c>
      <c r="N15" s="11">
        <v>6.8</v>
      </c>
      <c r="O15" s="11">
        <v>0</v>
      </c>
      <c r="P15" s="50"/>
      <c r="Q15" s="50">
        <f>L15*$J$15</f>
        <v>0</v>
      </c>
      <c r="R15" s="50">
        <f>M15*$J$15</f>
        <v>99</v>
      </c>
      <c r="S15" s="50">
        <f>N15*$J$15</f>
        <v>149.6</v>
      </c>
      <c r="T15" s="50">
        <f>O15*$J$15</f>
        <v>0</v>
      </c>
    </row>
    <row r="16" spans="1:20" ht="12">
      <c r="A16" s="45"/>
      <c r="B16" s="41"/>
      <c r="C16" s="42"/>
      <c r="D16" s="42"/>
      <c r="E16" s="43"/>
      <c r="F16" s="43"/>
      <c r="G16" s="46"/>
      <c r="H16" s="47"/>
      <c r="I16" s="53" t="s">
        <v>23</v>
      </c>
      <c r="J16" s="11">
        <v>22</v>
      </c>
      <c r="K16" s="55"/>
      <c r="L16" s="11">
        <v>0</v>
      </c>
      <c r="M16" s="11">
        <v>4.4</v>
      </c>
      <c r="N16" s="11">
        <v>6.8</v>
      </c>
      <c r="O16" s="11">
        <v>0</v>
      </c>
      <c r="P16" s="50"/>
      <c r="Q16" s="50">
        <f>L16*$J$16</f>
        <v>0</v>
      </c>
      <c r="R16" s="50">
        <f>M16*$J$16</f>
        <v>96.80000000000001</v>
      </c>
      <c r="S16" s="50">
        <f>N16*$J$16</f>
        <v>149.6</v>
      </c>
      <c r="T16" s="50">
        <f>O16*$J$16</f>
        <v>0</v>
      </c>
    </row>
    <row r="17" spans="1:20" ht="12">
      <c r="A17" s="10" t="s">
        <v>24</v>
      </c>
      <c r="B17" s="39"/>
      <c r="C17" s="8"/>
      <c r="D17" s="8"/>
      <c r="E17" s="12" t="s">
        <v>25</v>
      </c>
      <c r="F17" s="9"/>
      <c r="G17" s="47"/>
      <c r="H17" s="47"/>
      <c r="I17" s="53" t="s">
        <v>26</v>
      </c>
      <c r="J17" s="11">
        <v>16</v>
      </c>
      <c r="K17" s="55"/>
      <c r="L17" s="11">
        <v>0</v>
      </c>
      <c r="M17" s="11">
        <v>9.1</v>
      </c>
      <c r="N17" s="11">
        <v>0</v>
      </c>
      <c r="O17" s="11">
        <v>1.4</v>
      </c>
      <c r="P17" s="50"/>
      <c r="Q17" s="50">
        <f>L17*$J$17</f>
        <v>0</v>
      </c>
      <c r="R17" s="50">
        <f>M17*$J$17</f>
        <v>145.6</v>
      </c>
      <c r="S17" s="50">
        <f>N17*$J$17</f>
        <v>0</v>
      </c>
      <c r="T17" s="50">
        <f>O17*$J$17</f>
        <v>22.4</v>
      </c>
    </row>
    <row r="18" spans="1:20" ht="12">
      <c r="A18" s="10"/>
      <c r="B18" s="39"/>
      <c r="C18" s="8"/>
      <c r="D18" s="8"/>
      <c r="E18" s="44"/>
      <c r="F18" s="9"/>
      <c r="G18" s="47"/>
      <c r="H18" s="47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</row>
    <row r="19" spans="1:20" ht="12">
      <c r="A19" s="10" t="s">
        <v>83</v>
      </c>
      <c r="B19" s="39"/>
      <c r="C19" s="8"/>
      <c r="D19" s="8"/>
      <c r="E19" s="13">
        <v>3101</v>
      </c>
      <c r="F19" s="9"/>
      <c r="G19" s="47"/>
      <c r="H19" s="47"/>
      <c r="I19" s="50" t="s">
        <v>28</v>
      </c>
      <c r="J19" s="11">
        <v>20</v>
      </c>
      <c r="K19" s="50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50"/>
      <c r="Q19" s="50">
        <f>L19*$J$19</f>
        <v>136</v>
      </c>
      <c r="R19" s="50">
        <f>M19*$J$19</f>
        <v>90</v>
      </c>
      <c r="S19" s="50">
        <f>N19*$J$19</f>
        <v>0</v>
      </c>
      <c r="T19" s="50">
        <f>O19*$J$19</f>
        <v>28</v>
      </c>
    </row>
    <row r="20" spans="1:20" ht="12">
      <c r="A20" s="10" t="s">
        <v>29</v>
      </c>
      <c r="B20" s="39"/>
      <c r="C20" s="8"/>
      <c r="D20" s="8"/>
      <c r="E20" s="44"/>
      <c r="F20" s="9"/>
      <c r="G20" s="47"/>
      <c r="H20" s="47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</row>
    <row r="21" spans="1:20" ht="12">
      <c r="A21" s="10"/>
      <c r="B21" s="39"/>
      <c r="C21" s="8"/>
      <c r="D21" s="8"/>
      <c r="E21" s="44"/>
      <c r="F21" s="9"/>
      <c r="G21" s="47"/>
      <c r="H21" s="47"/>
      <c r="I21" s="50" t="s">
        <v>30</v>
      </c>
      <c r="J21" s="11">
        <v>6</v>
      </c>
      <c r="K21" s="50">
        <f>J21</f>
        <v>6</v>
      </c>
      <c r="L21" s="11">
        <v>4.5</v>
      </c>
      <c r="M21" s="11">
        <v>2.3</v>
      </c>
      <c r="N21" s="11">
        <v>0</v>
      </c>
      <c r="O21" s="11">
        <v>4.5</v>
      </c>
      <c r="P21" s="50"/>
      <c r="Q21" s="50">
        <f>L21*$J21</f>
        <v>27</v>
      </c>
      <c r="R21" s="50">
        <f>M21*$J21</f>
        <v>13.799999999999999</v>
      </c>
      <c r="S21" s="50">
        <f>N21*$J21</f>
        <v>0</v>
      </c>
      <c r="T21" s="50">
        <f>O21*$J21</f>
        <v>27</v>
      </c>
    </row>
    <row r="22" spans="1:20" ht="12">
      <c r="A22" s="10" t="s">
        <v>31</v>
      </c>
      <c r="B22" s="39"/>
      <c r="C22" s="8"/>
      <c r="D22" s="8"/>
      <c r="E22" s="13">
        <v>10</v>
      </c>
      <c r="F22" s="9"/>
      <c r="G22" s="47"/>
      <c r="H22" s="47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</row>
    <row r="23" spans="1:20" ht="12">
      <c r="A23" s="10" t="s">
        <v>32</v>
      </c>
      <c r="B23" s="39"/>
      <c r="C23" s="8"/>
      <c r="D23" s="8"/>
      <c r="E23" s="44"/>
      <c r="F23" s="9"/>
      <c r="G23" s="47"/>
      <c r="H23" s="47"/>
      <c r="I23" s="50" t="s">
        <v>33</v>
      </c>
      <c r="J23" s="11">
        <v>110</v>
      </c>
      <c r="K23" s="50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50"/>
      <c r="Q23" s="50">
        <f>L23*$J$23</f>
        <v>495</v>
      </c>
      <c r="R23" s="50">
        <f>M23*$J$23</f>
        <v>0</v>
      </c>
      <c r="S23" s="50">
        <f>N23*$J$23</f>
        <v>0</v>
      </c>
      <c r="T23" s="50">
        <f>O23*$J$23</f>
        <v>748</v>
      </c>
    </row>
    <row r="24" spans="1:20" ht="12">
      <c r="A24" s="10"/>
      <c r="B24" s="39"/>
      <c r="C24" s="8"/>
      <c r="D24" s="8"/>
      <c r="E24" s="44"/>
      <c r="F24" s="9"/>
      <c r="G24" s="47"/>
      <c r="H24" s="47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2">
      <c r="A25" s="10" t="s">
        <v>34</v>
      </c>
      <c r="B25" s="39"/>
      <c r="C25" s="8"/>
      <c r="D25" s="8"/>
      <c r="E25" s="13">
        <v>5</v>
      </c>
      <c r="F25" s="9"/>
      <c r="G25" s="47"/>
      <c r="H25" s="47"/>
      <c r="I25" s="50" t="s">
        <v>35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2">
      <c r="A26" s="10" t="s">
        <v>36</v>
      </c>
      <c r="B26" s="39"/>
      <c r="C26" s="8"/>
      <c r="D26" s="8"/>
      <c r="E26" s="44"/>
      <c r="F26" s="9"/>
      <c r="G26" s="47"/>
      <c r="H26" s="47"/>
      <c r="I26" s="53" t="s">
        <v>37</v>
      </c>
      <c r="J26" s="11">
        <v>90</v>
      </c>
      <c r="K26" s="56"/>
      <c r="L26" s="11">
        <v>4.5</v>
      </c>
      <c r="M26" s="11">
        <v>0</v>
      </c>
      <c r="N26" s="11">
        <v>0</v>
      </c>
      <c r="O26" s="11">
        <v>6.8</v>
      </c>
      <c r="P26" s="50"/>
      <c r="Q26" s="50">
        <f>L26*$J$26</f>
        <v>405</v>
      </c>
      <c r="R26" s="50">
        <f>M26*$J$26</f>
        <v>0</v>
      </c>
      <c r="S26" s="50">
        <f>N26*$J$26</f>
        <v>0</v>
      </c>
      <c r="T26" s="50">
        <f>O26*$J$26</f>
        <v>612</v>
      </c>
    </row>
    <row r="27" spans="1:20" ht="12">
      <c r="A27" s="10"/>
      <c r="B27" s="39"/>
      <c r="C27" s="8"/>
      <c r="D27" s="8"/>
      <c r="E27" s="44"/>
      <c r="F27" s="9"/>
      <c r="G27" s="47"/>
      <c r="H27" s="47"/>
      <c r="I27" s="53" t="s">
        <v>38</v>
      </c>
      <c r="J27" s="11">
        <v>68</v>
      </c>
      <c r="K27" s="56"/>
      <c r="L27" s="11">
        <v>6.8</v>
      </c>
      <c r="M27" s="11">
        <v>2.3</v>
      </c>
      <c r="N27" s="11">
        <v>0</v>
      </c>
      <c r="O27" s="11">
        <v>4.5</v>
      </c>
      <c r="P27" s="50"/>
      <c r="Q27" s="50">
        <f>L27*$J$27</f>
        <v>462.4</v>
      </c>
      <c r="R27" s="50">
        <f>M27*$J$27</f>
        <v>156.39999999999998</v>
      </c>
      <c r="S27" s="50">
        <f>N27*$J$27</f>
        <v>0</v>
      </c>
      <c r="T27" s="50">
        <f>O27*$J$27</f>
        <v>306</v>
      </c>
    </row>
    <row r="28" spans="1:20" ht="12">
      <c r="A28" s="10" t="s">
        <v>84</v>
      </c>
      <c r="B28" s="39"/>
      <c r="C28" s="8"/>
      <c r="D28" s="8"/>
      <c r="E28" s="13">
        <v>704.88</v>
      </c>
      <c r="F28" s="9"/>
      <c r="G28" s="47"/>
      <c r="H28" s="47"/>
      <c r="I28" s="53" t="s">
        <v>40</v>
      </c>
      <c r="J28" s="11">
        <v>68</v>
      </c>
      <c r="K28" s="56"/>
      <c r="L28" s="11">
        <v>4.5</v>
      </c>
      <c r="M28" s="11">
        <v>4.5</v>
      </c>
      <c r="N28" s="11">
        <v>0</v>
      </c>
      <c r="O28" s="11">
        <v>4.5</v>
      </c>
      <c r="P28" s="50"/>
      <c r="Q28" s="50">
        <f>L28*$J$28</f>
        <v>306</v>
      </c>
      <c r="R28" s="50">
        <f>M28*$J$28</f>
        <v>306</v>
      </c>
      <c r="S28" s="50">
        <f>N28*$J$28</f>
        <v>0</v>
      </c>
      <c r="T28" s="50">
        <f>O28*$J$28</f>
        <v>306</v>
      </c>
    </row>
    <row r="29" spans="1:20" ht="12">
      <c r="A29" s="10"/>
      <c r="B29" s="39"/>
      <c r="C29" s="8"/>
      <c r="D29" s="8"/>
      <c r="E29" s="44"/>
      <c r="F29" s="9"/>
      <c r="G29" s="47"/>
      <c r="H29" s="47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">
      <c r="A30" s="10" t="s">
        <v>41</v>
      </c>
      <c r="B30" s="39"/>
      <c r="C30" s="8"/>
      <c r="D30" s="8"/>
      <c r="E30" s="13">
        <v>67</v>
      </c>
      <c r="F30" s="9"/>
      <c r="G30" s="47"/>
      <c r="H30" s="47"/>
      <c r="I30" s="50" t="s">
        <v>42</v>
      </c>
      <c r="J30" s="11">
        <v>10</v>
      </c>
      <c r="K30" s="57">
        <f>J30</f>
        <v>10</v>
      </c>
      <c r="L30" s="11">
        <v>11.4</v>
      </c>
      <c r="M30" s="11">
        <v>2.3</v>
      </c>
      <c r="N30" s="11">
        <v>0</v>
      </c>
      <c r="O30" s="11">
        <v>2.3</v>
      </c>
      <c r="P30" s="50"/>
      <c r="Q30" s="50">
        <f>L30*$J$30</f>
        <v>114</v>
      </c>
      <c r="R30" s="50">
        <f>M30*$J$30</f>
        <v>23</v>
      </c>
      <c r="S30" s="50">
        <f>N30*$J$30</f>
        <v>0</v>
      </c>
      <c r="T30" s="50">
        <f>O30*$J$30</f>
        <v>23</v>
      </c>
    </row>
    <row r="31" spans="1:20" ht="12">
      <c r="A31" s="10"/>
      <c r="B31" s="39"/>
      <c r="C31" s="8"/>
      <c r="D31" s="8"/>
      <c r="E31" s="44"/>
      <c r="F31" s="9"/>
      <c r="G31" s="47"/>
      <c r="H31" s="47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</row>
    <row r="32" spans="1:20" ht="12">
      <c r="A32" s="10" t="s">
        <v>85</v>
      </c>
      <c r="B32" s="39"/>
      <c r="C32" s="8"/>
      <c r="D32" s="8"/>
      <c r="E32" s="13">
        <v>0.3048</v>
      </c>
      <c r="F32" s="9"/>
      <c r="G32" s="48">
        <f>(42.63*(1-($E$28*(200+$E$30)/300000))/($E$32*39.37))</f>
        <v>1.3238659297318596</v>
      </c>
      <c r="H32" s="47"/>
      <c r="I32" s="50" t="s">
        <v>45</v>
      </c>
      <c r="J32" s="50" t="s">
        <v>16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">
      <c r="A33" s="10"/>
      <c r="B33" s="39"/>
      <c r="C33" s="8"/>
      <c r="D33" s="8"/>
      <c r="E33" s="44"/>
      <c r="F33" s="9"/>
      <c r="G33" s="47"/>
      <c r="H33" s="47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2">
      <c r="A34" s="10" t="s">
        <v>46</v>
      </c>
      <c r="B34" s="39"/>
      <c r="C34" s="8"/>
      <c r="D34" s="8"/>
      <c r="E34" s="13">
        <v>360</v>
      </c>
      <c r="F34" s="9"/>
      <c r="G34" s="47"/>
      <c r="H34" s="47"/>
      <c r="I34" s="50" t="s">
        <v>47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12">
      <c r="A35" s="10"/>
      <c r="B35" s="39"/>
      <c r="C35" s="8"/>
      <c r="D35" s="8"/>
      <c r="E35" s="44"/>
      <c r="F35" s="9"/>
      <c r="G35" s="47"/>
      <c r="H35" s="47"/>
      <c r="I35" s="53" t="s">
        <v>48</v>
      </c>
      <c r="J35" s="11">
        <v>48</v>
      </c>
      <c r="K35" s="56"/>
      <c r="L35" s="11">
        <v>2.3</v>
      </c>
      <c r="M35" s="11">
        <v>0</v>
      </c>
      <c r="N35" s="11">
        <v>0</v>
      </c>
      <c r="O35" s="11">
        <v>0.91</v>
      </c>
      <c r="P35" s="50"/>
      <c r="Q35" s="50">
        <f>L35*$J$35</f>
        <v>110.39999999999999</v>
      </c>
      <c r="R35" s="50">
        <f>M35*$J$35</f>
        <v>0</v>
      </c>
      <c r="S35" s="50">
        <f>N35*$J$35</f>
        <v>0</v>
      </c>
      <c r="T35" s="50">
        <f>O35*$J$35</f>
        <v>43.68</v>
      </c>
    </row>
    <row r="36" spans="1:20" ht="12">
      <c r="A36" s="10" t="s">
        <v>86</v>
      </c>
      <c r="B36" s="39"/>
      <c r="C36" s="8"/>
      <c r="D36" s="8"/>
      <c r="E36" s="13">
        <v>46</v>
      </c>
      <c r="F36" s="9"/>
      <c r="G36" s="47"/>
      <c r="H36" s="47"/>
      <c r="I36" s="53" t="s">
        <v>50</v>
      </c>
      <c r="J36" s="11">
        <v>48</v>
      </c>
      <c r="K36" s="56"/>
      <c r="L36" s="11">
        <v>4.5</v>
      </c>
      <c r="M36" s="11">
        <v>0</v>
      </c>
      <c r="N36" s="11">
        <v>0</v>
      </c>
      <c r="O36" s="11">
        <v>1.4</v>
      </c>
      <c r="P36" s="50"/>
      <c r="Q36" s="50">
        <f>L36*$J$36</f>
        <v>216</v>
      </c>
      <c r="R36" s="50">
        <f>M36*$J$36</f>
        <v>0</v>
      </c>
      <c r="S36" s="50">
        <f>N36*$J$36</f>
        <v>0</v>
      </c>
      <c r="T36" s="50">
        <f>O36*$J$36</f>
        <v>67.19999999999999</v>
      </c>
    </row>
    <row r="37" spans="1:20" ht="12">
      <c r="A37" s="10" t="s">
        <v>87</v>
      </c>
      <c r="B37" s="39"/>
      <c r="C37" s="8"/>
      <c r="D37" s="8"/>
      <c r="E37" s="9"/>
      <c r="F37" s="9"/>
      <c r="G37" s="47"/>
      <c r="H37" s="47"/>
      <c r="I37" s="53" t="s">
        <v>52</v>
      </c>
      <c r="J37" s="11">
        <v>72</v>
      </c>
      <c r="K37" s="56"/>
      <c r="L37" s="11">
        <v>4.5</v>
      </c>
      <c r="M37" s="11">
        <v>2.3</v>
      </c>
      <c r="N37" s="11">
        <v>0</v>
      </c>
      <c r="O37" s="11">
        <v>1.8</v>
      </c>
      <c r="P37" s="50"/>
      <c r="Q37" s="50">
        <f>L37*$J$37</f>
        <v>324</v>
      </c>
      <c r="R37" s="50">
        <f>M37*$J$37</f>
        <v>165.6</v>
      </c>
      <c r="S37" s="50">
        <f>N37*$J$37</f>
        <v>0</v>
      </c>
      <c r="T37" s="50">
        <f>O37*$J$37</f>
        <v>129.6</v>
      </c>
    </row>
    <row r="38" spans="1:20" ht="12">
      <c r="A38" s="45" t="s">
        <v>95</v>
      </c>
      <c r="B38" s="40"/>
      <c r="C38" s="40"/>
      <c r="D38" s="40"/>
      <c r="E38" s="40"/>
      <c r="F38" s="40"/>
      <c r="G38" s="46"/>
      <c r="H38" s="47"/>
      <c r="I38" s="53" t="s">
        <v>53</v>
      </c>
      <c r="J38" s="11">
        <v>48</v>
      </c>
      <c r="K38" s="56"/>
      <c r="L38" s="11">
        <v>4.5</v>
      </c>
      <c r="M38" s="11">
        <v>4.5</v>
      </c>
      <c r="N38" s="11">
        <v>0</v>
      </c>
      <c r="O38" s="11">
        <v>1.8</v>
      </c>
      <c r="P38" s="50"/>
      <c r="Q38" s="50">
        <f>L38*$J$38</f>
        <v>216</v>
      </c>
      <c r="R38" s="50">
        <f>M38*$J$38</f>
        <v>216</v>
      </c>
      <c r="S38" s="50">
        <f>N38*$J$38</f>
        <v>0</v>
      </c>
      <c r="T38" s="50">
        <f>O38*$J$38</f>
        <v>86.4</v>
      </c>
    </row>
    <row r="39" spans="8:20" ht="12">
      <c r="H39" s="47"/>
      <c r="I39" s="53" t="s">
        <v>54</v>
      </c>
      <c r="J39" s="11">
        <v>156</v>
      </c>
      <c r="K39" s="56"/>
      <c r="L39" s="11">
        <v>6.6</v>
      </c>
      <c r="M39" s="11">
        <v>4.5</v>
      </c>
      <c r="N39" s="11">
        <v>0</v>
      </c>
      <c r="O39" s="11">
        <v>4.5</v>
      </c>
      <c r="P39" s="50"/>
      <c r="Q39" s="50">
        <f>L39*$J$39</f>
        <v>1029.6</v>
      </c>
      <c r="R39" s="50">
        <f>M39*$J$39</f>
        <v>702</v>
      </c>
      <c r="S39" s="50">
        <f>N39*$J$39</f>
        <v>0</v>
      </c>
      <c r="T39" s="50">
        <f>O39*$J$39</f>
        <v>702</v>
      </c>
    </row>
    <row r="40" spans="1:20" ht="12">
      <c r="A40" s="15" t="s">
        <v>55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</row>
    <row r="41" spans="1:20" ht="12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47</v>
      </c>
      <c r="J41" s="50" t="s">
        <v>16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2">
      <c r="A42" s="19"/>
      <c r="B42" s="19" t="s">
        <v>56</v>
      </c>
      <c r="C42" s="17" t="s">
        <v>57</v>
      </c>
      <c r="D42" s="17" t="s">
        <v>58</v>
      </c>
      <c r="E42" s="18" t="s">
        <v>59</v>
      </c>
      <c r="F42" s="24" t="s">
        <v>59</v>
      </c>
      <c r="G42" s="19" t="s">
        <v>60</v>
      </c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12">
      <c r="A43" s="19" t="s">
        <v>61</v>
      </c>
      <c r="B43" s="16" t="s">
        <v>58</v>
      </c>
      <c r="C43" s="25" t="s">
        <v>62</v>
      </c>
      <c r="D43" s="17" t="s">
        <v>63</v>
      </c>
      <c r="E43" s="18" t="s">
        <v>64</v>
      </c>
      <c r="F43" s="24" t="s">
        <v>65</v>
      </c>
      <c r="G43" s="26" t="s">
        <v>66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2">
      <c r="A44" s="19" t="s">
        <v>67</v>
      </c>
      <c r="B44" s="16" t="s">
        <v>68</v>
      </c>
      <c r="C44" s="17" t="s">
        <v>58</v>
      </c>
      <c r="D44" s="17"/>
      <c r="E44" s="18" t="s">
        <v>69</v>
      </c>
      <c r="F44" s="24" t="s">
        <v>70</v>
      </c>
      <c r="G44" s="19"/>
      <c r="H44" s="19"/>
      <c r="I44" s="50"/>
      <c r="J44" s="50"/>
      <c r="K44" s="50"/>
      <c r="L44" s="50"/>
      <c r="M44" s="50"/>
      <c r="N44" s="50"/>
      <c r="O44" s="50" t="s">
        <v>101</v>
      </c>
      <c r="P44" s="50"/>
      <c r="Q44" s="49">
        <f>SUM(Q14:Q39)</f>
        <v>3841.4</v>
      </c>
      <c r="R44" s="49">
        <f>SUM(R14:R39)</f>
        <v>2014.1999999999998</v>
      </c>
      <c r="S44" s="49">
        <f>SUM(S14:S39)</f>
        <v>372</v>
      </c>
      <c r="T44" s="49">
        <f>SUM(T14:T39)</f>
        <v>3101.2799999999997</v>
      </c>
    </row>
    <row r="45" spans="1:16" ht="12">
      <c r="A45" s="19"/>
      <c r="B45" s="16"/>
      <c r="C45" s="19" t="s">
        <v>71</v>
      </c>
      <c r="D45" s="17" t="s">
        <v>88</v>
      </c>
      <c r="E45" s="18" t="s">
        <v>73</v>
      </c>
      <c r="F45" s="24" t="s">
        <v>74</v>
      </c>
      <c r="G45" s="19"/>
      <c r="H45" s="19"/>
      <c r="P45" s="60" t="s">
        <v>102</v>
      </c>
    </row>
    <row r="46" spans="1:8" ht="12">
      <c r="A46" s="26" t="s">
        <v>88</v>
      </c>
      <c r="B46" s="16" t="s">
        <v>88</v>
      </c>
      <c r="C46" s="17"/>
      <c r="D46" s="17" t="s">
        <v>75</v>
      </c>
      <c r="E46" s="18" t="s">
        <v>89</v>
      </c>
      <c r="F46" s="24" t="s">
        <v>89</v>
      </c>
      <c r="G46" s="26" t="s">
        <v>77</v>
      </c>
      <c r="H46" s="19"/>
    </row>
    <row r="47" spans="1:8" ht="12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">
      <c r="A48" s="19">
        <v>1.5</v>
      </c>
      <c r="B48" s="27">
        <f>IF(($E$19/(1-($E$22+$E$25+$G$32)/100))/($E$32*$A48*$E$28*(1-($E$30/100)))&lt;2*$E$15,"Don't Use",($E$19/(1-($E$22+$E$25+$G$32)/100))/($E$32*$A48*$E$28*(1-($E$30/100))))</f>
        <v>34.84695297558851</v>
      </c>
      <c r="C48" s="17">
        <f aca="true" t="shared" si="0" ref="C48:C59">IF(B48="Don't Use","Don't Use",ROUND(((+$E$32)*$E$34/$E$36+0.4),0))</f>
        <v>3</v>
      </c>
      <c r="D48" s="28">
        <f aca="true" t="shared" si="1" ref="D48:D59">IF(B48="Don't Use","Don't Use",((($E$19*$E$34/(1-($E$22+$E$25+$G$32)/100))/($E$28*(1-($E$30/100)))-(1.365*($A48^2)*$B48*$C48))/$C48)/($B48*$A48)+2.73*$A48)</f>
        <v>38.6235</v>
      </c>
      <c r="E48" s="18">
        <f aca="true" t="shared" si="2" ref="E48:E59">IF(B48="Don't Use","Don't Use",($E$19/(1-($E$22+$E$25+$G$32)/100)*($E$34/1000)*(1+0.0225*($B48/$I$53-1))))</f>
        <v>1326.7827812534124</v>
      </c>
      <c r="F48" s="18">
        <f>IF(B48="Don't Use","Don't Use",+$E48*($E$22+$E$25+$G$32+2.25*($B48*3.28/$I$53-1))/100)</f>
        <v>260.6350954018112</v>
      </c>
      <c r="G48" s="18">
        <f aca="true" t="shared" si="3" ref="G48:G59">IF(B48="Don't Use","Don't Use",($F48/$E48)*100)</f>
        <v>19.644142137237345</v>
      </c>
      <c r="H48" s="19"/>
    </row>
    <row r="49" spans="1:8" ht="12">
      <c r="A49" s="19">
        <v>2</v>
      </c>
      <c r="B49" s="27">
        <f aca="true" t="shared" si="4" ref="B49:B59">IF(($E$19/(1-($E$22+$E$25+$G$32)/100))/($E$32*$A49*$E$28*(1-($E$30/100)))&lt;2*$E$15,"Don't Use",($E$19/(1-($E$22+$E$25+$G$32)/100))/($E$32*$A49*$E$28*(1-($E$30/100))))</f>
        <v>26.135214731691377</v>
      </c>
      <c r="C49" s="17">
        <f t="shared" si="0"/>
        <v>3</v>
      </c>
      <c r="D49" s="28">
        <f t="shared" si="1"/>
        <v>39.306000000000004</v>
      </c>
      <c r="E49" s="18">
        <f t="shared" si="2"/>
        <v>1321.1184902720327</v>
      </c>
      <c r="F49" s="18">
        <f aca="true" t="shared" si="5" ref="F49:F59">IF(B49="Don't Use","Don't Use",+$E49*($E$22+$E$25+$G$32+2.25*($B49*3.28/$I$53-1))/100)</f>
        <v>241.12490679621754</v>
      </c>
      <c r="G49" s="18">
        <f t="shared" si="3"/>
        <v>18.251573085360974</v>
      </c>
      <c r="H49" s="19"/>
    </row>
    <row r="50" spans="1:8" ht="12">
      <c r="A50" s="19">
        <v>2.5</v>
      </c>
      <c r="B50" s="27">
        <f t="shared" si="4"/>
        <v>20.908171785353105</v>
      </c>
      <c r="C50" s="17">
        <f t="shared" si="0"/>
        <v>3</v>
      </c>
      <c r="D50" s="28">
        <f t="shared" si="1"/>
        <v>39.98850000000001</v>
      </c>
      <c r="E50" s="18">
        <f t="shared" si="2"/>
        <v>1317.7199156832048</v>
      </c>
      <c r="F50" s="18">
        <f t="shared" si="5"/>
        <v>229.4945176295477</v>
      </c>
      <c r="G50" s="18">
        <f t="shared" si="3"/>
        <v>17.41603165423515</v>
      </c>
      <c r="H50" s="19"/>
    </row>
    <row r="51" spans="1:8" ht="12">
      <c r="A51" s="29">
        <v>3</v>
      </c>
      <c r="B51" s="27">
        <f t="shared" si="4"/>
        <v>17.423476487794254</v>
      </c>
      <c r="C51" s="30">
        <f t="shared" si="0"/>
        <v>3</v>
      </c>
      <c r="D51" s="31">
        <f t="shared" si="1"/>
        <v>40.671</v>
      </c>
      <c r="E51" s="32">
        <f t="shared" si="2"/>
        <v>1315.4541992906527</v>
      </c>
      <c r="F51" s="32">
        <f t="shared" si="5"/>
        <v>221.77247651705372</v>
      </c>
      <c r="G51" s="32">
        <f t="shared" si="3"/>
        <v>16.859004033484602</v>
      </c>
      <c r="H51" s="29"/>
    </row>
    <row r="52" spans="1:8" ht="12">
      <c r="A52" s="19">
        <v>3.5</v>
      </c>
      <c r="B52" s="27">
        <f t="shared" si="4"/>
        <v>14.934408418109362</v>
      </c>
      <c r="C52" s="17">
        <f t="shared" si="0"/>
        <v>3</v>
      </c>
      <c r="D52" s="28">
        <f t="shared" si="1"/>
        <v>41.3535</v>
      </c>
      <c r="E52" s="18">
        <f t="shared" si="2"/>
        <v>1313.83583043883</v>
      </c>
      <c r="F52" s="18">
        <f t="shared" si="5"/>
        <v>216.27218674214714</v>
      </c>
      <c r="G52" s="18">
        <f t="shared" si="3"/>
        <v>16.461127161519926</v>
      </c>
      <c r="H52" s="19"/>
    </row>
    <row r="53" spans="1:9" ht="12">
      <c r="A53" s="33">
        <v>3.66</v>
      </c>
      <c r="B53" s="27">
        <f t="shared" si="4"/>
        <v>14.281538104749387</v>
      </c>
      <c r="C53" s="34">
        <f t="shared" si="0"/>
        <v>3</v>
      </c>
      <c r="D53" s="35">
        <f t="shared" si="1"/>
        <v>41.5719</v>
      </c>
      <c r="E53" s="36">
        <f t="shared" si="2"/>
        <v>1313.411340248188</v>
      </c>
      <c r="F53" s="36">
        <f t="shared" si="5"/>
        <v>214.8316197359177</v>
      </c>
      <c r="G53" s="36">
        <f t="shared" si="3"/>
        <v>16.356766014775097</v>
      </c>
      <c r="H53" s="36" t="s">
        <v>78</v>
      </c>
      <c r="I53" s="37">
        <f>(($E$19*2.205)*12/(1-($E$22+$E$25)/100))/(($E$32*39.37)*12*($E$28/16.02)*(1-($E$30/100)))</f>
        <v>46.16835923025273</v>
      </c>
    </row>
    <row r="54" spans="1:8" ht="12">
      <c r="A54" s="19">
        <v>4</v>
      </c>
      <c r="B54" s="27">
        <f t="shared" si="4"/>
        <v>13.067607365845689</v>
      </c>
      <c r="C54" s="17">
        <f t="shared" si="0"/>
        <v>3</v>
      </c>
      <c r="D54" s="28">
        <f t="shared" si="1"/>
        <v>42.03600000000001</v>
      </c>
      <c r="E54" s="18">
        <f t="shared" si="2"/>
        <v>1312.622053799963</v>
      </c>
      <c r="F54" s="18">
        <f t="shared" si="5"/>
        <v>212.155420749883</v>
      </c>
      <c r="G54" s="18">
        <f t="shared" si="3"/>
        <v>16.162719507546413</v>
      </c>
      <c r="H54" s="17"/>
    </row>
    <row r="55" spans="1:8" ht="12">
      <c r="A55" s="19">
        <v>4.5</v>
      </c>
      <c r="B55" s="27">
        <f t="shared" si="4"/>
        <v>11.615650991862834</v>
      </c>
      <c r="C55" s="17">
        <f t="shared" si="0"/>
        <v>3</v>
      </c>
      <c r="D55" s="28">
        <f t="shared" si="1"/>
        <v>42.718500000000006</v>
      </c>
      <c r="E55" s="18">
        <f t="shared" si="2"/>
        <v>1311.6780053030664</v>
      </c>
      <c r="F55" s="18">
        <f t="shared" si="5"/>
        <v>208.9584998456278</v>
      </c>
      <c r="G55" s="18">
        <f t="shared" si="3"/>
        <v>15.930624665567022</v>
      </c>
      <c r="H55" s="17"/>
    </row>
    <row r="56" spans="1:8" ht="12">
      <c r="A56" s="19">
        <v>5</v>
      </c>
      <c r="B56" s="27">
        <f t="shared" si="4"/>
        <v>10.454085892676552</v>
      </c>
      <c r="C56" s="17">
        <f t="shared" si="0"/>
        <v>3</v>
      </c>
      <c r="D56" s="28">
        <f t="shared" si="1"/>
        <v>43.400999999999996</v>
      </c>
      <c r="E56" s="18">
        <f t="shared" si="2"/>
        <v>1310.922766505549</v>
      </c>
      <c r="F56" s="18">
        <f t="shared" si="5"/>
        <v>206.4041182887522</v>
      </c>
      <c r="G56" s="18">
        <f t="shared" si="3"/>
        <v>15.744948791983507</v>
      </c>
      <c r="H56" s="17"/>
    </row>
    <row r="57" spans="1:8" ht="12">
      <c r="A57" s="19">
        <v>5.5</v>
      </c>
      <c r="B57" s="27">
        <f t="shared" si="4"/>
        <v>9.503714447887775</v>
      </c>
      <c r="C57" s="17">
        <f t="shared" si="0"/>
        <v>3</v>
      </c>
      <c r="D57" s="28">
        <f t="shared" si="1"/>
        <v>44.0835</v>
      </c>
      <c r="E57" s="18">
        <f t="shared" si="2"/>
        <v>1310.3048438530348</v>
      </c>
      <c r="F57" s="18">
        <f t="shared" si="5"/>
        <v>204.31625580273237</v>
      </c>
      <c r="G57" s="18">
        <f t="shared" si="3"/>
        <v>15.593032168142448</v>
      </c>
      <c r="H57" s="17"/>
    </row>
    <row r="58" spans="1:8" ht="12">
      <c r="A58" s="19">
        <v>6</v>
      </c>
      <c r="B58" s="27">
        <f t="shared" si="4"/>
        <v>8.711738243897127</v>
      </c>
      <c r="C58" s="17">
        <f t="shared" si="0"/>
        <v>3</v>
      </c>
      <c r="D58" s="28">
        <f t="shared" si="1"/>
        <v>44.766</v>
      </c>
      <c r="E58" s="18">
        <f t="shared" si="2"/>
        <v>1309.789908309273</v>
      </c>
      <c r="F58" s="18">
        <f t="shared" si="5"/>
        <v>202.57780456431976</v>
      </c>
      <c r="G58" s="18">
        <f t="shared" si="3"/>
        <v>15.466434981608232</v>
      </c>
      <c r="H58" s="17"/>
    </row>
    <row r="59" spans="1:8" ht="12">
      <c r="A59" s="19">
        <v>6.5</v>
      </c>
      <c r="B59" s="27">
        <f t="shared" si="4"/>
        <v>8.041604532828117</v>
      </c>
      <c r="C59" s="17">
        <f t="shared" si="0"/>
        <v>3</v>
      </c>
      <c r="D59" s="28">
        <f t="shared" si="1"/>
        <v>45.448499999999996</v>
      </c>
      <c r="E59" s="18">
        <f t="shared" si="2"/>
        <v>1309.3541936183976</v>
      </c>
      <c r="F59" s="18">
        <f t="shared" si="5"/>
        <v>201.10782570573676</v>
      </c>
      <c r="G59" s="18">
        <f t="shared" si="3"/>
        <v>15.359314285310049</v>
      </c>
      <c r="H59" s="19"/>
    </row>
    <row r="60" spans="1:8" ht="12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">
      <c r="A61" s="5" t="s">
        <v>90</v>
      </c>
      <c r="B61" s="1"/>
      <c r="C61" s="2"/>
      <c r="D61" s="2"/>
      <c r="E61" s="3"/>
      <c r="F61" s="3"/>
    </row>
    <row r="62" spans="1:6" ht="12">
      <c r="A62" s="5" t="s">
        <v>93</v>
      </c>
      <c r="B62" s="1"/>
      <c r="C62" s="2"/>
      <c r="D62" s="2"/>
      <c r="E62" s="3"/>
      <c r="F62" s="3"/>
    </row>
    <row r="63" spans="2:6" ht="12">
      <c r="B63" s="1"/>
      <c r="C63" s="2"/>
      <c r="D63" s="2"/>
      <c r="E63" s="3"/>
      <c r="F63" s="3"/>
    </row>
    <row r="64" spans="2:6" ht="12"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75" right="0.75" top="1" bottom="1" header="0.5" footer="0.5"/>
  <pageSetup horizontalDpi="1200" verticalDpi="12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16.57421875" style="0" customWidth="1"/>
    <col min="4" max="4" width="26.28125" style="0" customWidth="1"/>
    <col min="5" max="5" width="15.421875" style="0" customWidth="1"/>
    <col min="6" max="6" width="14.421875" style="0" customWidth="1"/>
    <col min="7" max="7" width="20.8515625" style="0" customWidth="1"/>
    <col min="8" max="8" width="5.8515625" style="0" customWidth="1"/>
    <col min="9" max="9" width="19.421875" style="0" customWidth="1"/>
    <col min="11" max="11" width="9.8515625" style="0" customWidth="1"/>
    <col min="12" max="12" width="11.28125" style="0" customWidth="1"/>
    <col min="13" max="13" width="11.00390625" style="0" customWidth="1"/>
    <col min="14" max="14" width="11.8515625" style="0" customWidth="1"/>
    <col min="15" max="15" width="9.421875" style="0" customWidth="1"/>
    <col min="16" max="16" width="5.140625" style="0" customWidth="1"/>
    <col min="17" max="17" width="11.8515625" style="0" customWidth="1"/>
    <col min="18" max="18" width="12.421875" style="0" customWidth="1"/>
    <col min="19" max="19" width="12.140625" style="0" customWidth="1"/>
    <col min="20" max="20" width="11.7109375" style="0" customWidth="1"/>
  </cols>
  <sheetData>
    <row r="1" spans="1:6" ht="12">
      <c r="A1" s="60" t="s">
        <v>106</v>
      </c>
      <c r="B1" s="1"/>
      <c r="C1" s="2"/>
      <c r="D1" s="2"/>
      <c r="E1" s="3"/>
      <c r="F1" s="3"/>
    </row>
    <row r="2" spans="2:6" ht="12">
      <c r="B2" s="65">
        <v>40045</v>
      </c>
      <c r="C2" s="2"/>
      <c r="D2" s="2"/>
      <c r="E2" s="3"/>
      <c r="F2" s="3"/>
    </row>
    <row r="3" spans="1:6" ht="12">
      <c r="A3" t="s">
        <v>1</v>
      </c>
      <c r="B3" s="1"/>
      <c r="C3" s="2"/>
      <c r="D3" s="2"/>
      <c r="E3" s="3"/>
      <c r="F3" s="3"/>
    </row>
    <row r="4" spans="1:6" ht="12">
      <c r="A4" t="s">
        <v>184</v>
      </c>
      <c r="B4" s="1"/>
      <c r="C4" s="2"/>
      <c r="D4" s="2"/>
      <c r="E4" s="3"/>
      <c r="F4" s="3"/>
    </row>
    <row r="5" spans="1:6" ht="12">
      <c r="A5" t="s">
        <v>185</v>
      </c>
      <c r="B5" s="1"/>
      <c r="C5" s="2"/>
      <c r="D5" s="2"/>
      <c r="E5" s="3"/>
      <c r="F5" s="3"/>
    </row>
    <row r="6" spans="1:25" ht="12">
      <c r="A6" t="s">
        <v>183</v>
      </c>
      <c r="B6" s="1"/>
      <c r="C6" s="2"/>
      <c r="D6" s="2"/>
      <c r="E6" s="3"/>
      <c r="F6" s="3"/>
      <c r="H6" s="47"/>
      <c r="I6" s="49" t="s">
        <v>167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47"/>
    </row>
    <row r="7" spans="1:25" ht="12">
      <c r="A7" t="s">
        <v>186</v>
      </c>
      <c r="B7" s="1"/>
      <c r="C7" s="2"/>
      <c r="D7" s="2"/>
      <c r="E7" s="3"/>
      <c r="F7" s="3"/>
      <c r="H7" s="47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  <c r="U7" s="50"/>
      <c r="V7" s="50"/>
      <c r="W7" s="50"/>
      <c r="X7" s="50"/>
      <c r="Y7" s="47"/>
    </row>
    <row r="8" spans="1:25" ht="12">
      <c r="A8" t="s">
        <v>181</v>
      </c>
      <c r="B8" s="1"/>
      <c r="C8" s="2"/>
      <c r="D8" s="2"/>
      <c r="E8" s="3"/>
      <c r="F8" s="3"/>
      <c r="H8" s="47"/>
      <c r="I8" s="50"/>
      <c r="J8" s="50"/>
      <c r="K8" s="50"/>
      <c r="L8" s="50" t="s">
        <v>154</v>
      </c>
      <c r="M8" s="50" t="s">
        <v>154</v>
      </c>
      <c r="N8" s="50" t="s">
        <v>154</v>
      </c>
      <c r="O8" s="50" t="s">
        <v>154</v>
      </c>
      <c r="P8" s="50"/>
      <c r="Q8" s="50" t="s">
        <v>154</v>
      </c>
      <c r="R8" s="50" t="s">
        <v>154</v>
      </c>
      <c r="S8" s="50" t="s">
        <v>154</v>
      </c>
      <c r="T8" s="50" t="s">
        <v>154</v>
      </c>
      <c r="U8" s="50"/>
      <c r="V8" s="50"/>
      <c r="W8" s="50"/>
      <c r="X8" s="50"/>
      <c r="Y8" s="47"/>
    </row>
    <row r="9" spans="1:25" ht="12">
      <c r="A9" t="s">
        <v>182</v>
      </c>
      <c r="B9" s="1"/>
      <c r="C9" s="2"/>
      <c r="E9" s="58"/>
      <c r="F9" s="58"/>
      <c r="G9" s="47"/>
      <c r="H9" s="47"/>
      <c r="I9" s="50"/>
      <c r="J9" s="50" t="s">
        <v>152</v>
      </c>
      <c r="K9" s="50"/>
      <c r="L9" s="50" t="s">
        <v>170</v>
      </c>
      <c r="M9" s="50" t="s">
        <v>171</v>
      </c>
      <c r="N9" s="50" t="s">
        <v>172</v>
      </c>
      <c r="O9" s="50" t="s">
        <v>155</v>
      </c>
      <c r="P9" s="50"/>
      <c r="Q9" s="50" t="s">
        <v>170</v>
      </c>
      <c r="R9" s="50" t="s">
        <v>171</v>
      </c>
      <c r="S9" s="50" t="s">
        <v>172</v>
      </c>
      <c r="T9" s="50" t="s">
        <v>155</v>
      </c>
      <c r="U9" s="50"/>
      <c r="V9" s="50"/>
      <c r="W9" s="50"/>
      <c r="X9" s="50"/>
      <c r="Y9" s="47"/>
    </row>
    <row r="10" spans="1:25" ht="12">
      <c r="A10" s="6" t="s">
        <v>81</v>
      </c>
      <c r="B10" s="1"/>
      <c r="C10" s="2"/>
      <c r="D10" s="2"/>
      <c r="E10" s="3"/>
      <c r="F10" s="3"/>
      <c r="H10" s="47"/>
      <c r="I10" s="50"/>
      <c r="J10" s="50" t="s">
        <v>153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47"/>
    </row>
    <row r="11" spans="2:25" ht="12">
      <c r="B11" s="1"/>
      <c r="C11" s="2"/>
      <c r="D11" s="2"/>
      <c r="E11" s="3"/>
      <c r="F11" s="3"/>
      <c r="H11" s="47"/>
      <c r="I11" s="50" t="s">
        <v>133</v>
      </c>
      <c r="J11" s="50" t="s">
        <v>133</v>
      </c>
      <c r="K11" s="50" t="s">
        <v>16</v>
      </c>
      <c r="L11" s="52" t="s">
        <v>178</v>
      </c>
      <c r="M11" s="50"/>
      <c r="N11" s="50"/>
      <c r="O11" s="50"/>
      <c r="P11" s="50"/>
      <c r="Q11" s="52" t="s">
        <v>177</v>
      </c>
      <c r="R11" s="50"/>
      <c r="S11" s="50"/>
      <c r="T11" s="50"/>
      <c r="U11" s="50"/>
      <c r="V11" s="50"/>
      <c r="W11" s="50"/>
      <c r="X11" s="50"/>
      <c r="Y11" s="47"/>
    </row>
    <row r="12" spans="2:25" ht="12">
      <c r="B12" s="1"/>
      <c r="C12" s="8" t="s">
        <v>180</v>
      </c>
      <c r="D12" s="8"/>
      <c r="E12" s="9"/>
      <c r="F12" s="9"/>
      <c r="H12" s="47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  <c r="U12" s="50"/>
      <c r="V12" s="50"/>
      <c r="W12" s="50"/>
      <c r="X12" s="50"/>
      <c r="Y12" s="47"/>
    </row>
    <row r="13" spans="1:25" ht="12">
      <c r="A13" s="38" t="s">
        <v>107</v>
      </c>
      <c r="B13" s="39"/>
      <c r="C13" s="8"/>
      <c r="D13" s="8"/>
      <c r="E13" s="9"/>
      <c r="F13" s="9"/>
      <c r="H13" s="47"/>
      <c r="I13" s="50" t="s">
        <v>134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7"/>
    </row>
    <row r="14" spans="1:25" ht="12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H14" s="47"/>
      <c r="I14" s="53" t="s">
        <v>149</v>
      </c>
      <c r="J14" s="11">
        <v>8</v>
      </c>
      <c r="K14" s="55"/>
      <c r="L14" s="11">
        <v>0</v>
      </c>
      <c r="M14" s="11">
        <v>0</v>
      </c>
      <c r="N14" s="11">
        <v>9.1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72.8</v>
      </c>
      <c r="T14" s="50">
        <f>O14*$J$14</f>
        <v>0</v>
      </c>
      <c r="U14" s="50"/>
      <c r="V14" s="50"/>
      <c r="W14" s="50"/>
      <c r="X14" s="50"/>
      <c r="Y14" s="47"/>
    </row>
    <row r="15" spans="1:25" ht="12">
      <c r="A15" s="10" t="s">
        <v>108</v>
      </c>
      <c r="B15" s="39"/>
      <c r="C15" s="8"/>
      <c r="D15" s="8"/>
      <c r="E15" s="13">
        <v>3</v>
      </c>
      <c r="F15" s="9"/>
      <c r="G15" s="47"/>
      <c r="H15" s="47"/>
      <c r="I15" s="53" t="s">
        <v>150</v>
      </c>
      <c r="J15" s="11">
        <v>22</v>
      </c>
      <c r="K15" s="55"/>
      <c r="L15" s="11">
        <v>0</v>
      </c>
      <c r="M15" s="11">
        <v>4.5</v>
      </c>
      <c r="N15" s="11">
        <v>6.8</v>
      </c>
      <c r="O15" s="11">
        <v>0</v>
      </c>
      <c r="P15" s="50"/>
      <c r="Q15" s="50">
        <f>L15*$J$15</f>
        <v>0</v>
      </c>
      <c r="R15" s="50">
        <f>M15*$J$15</f>
        <v>99</v>
      </c>
      <c r="S15" s="50">
        <f>N15*$J$15</f>
        <v>149.6</v>
      </c>
      <c r="T15" s="50">
        <f>O15*$J$15</f>
        <v>0</v>
      </c>
      <c r="U15" s="50"/>
      <c r="V15" s="50"/>
      <c r="W15" s="50"/>
      <c r="X15" s="50"/>
      <c r="Y15" s="47"/>
    </row>
    <row r="16" spans="1:25" ht="12">
      <c r="A16" s="45"/>
      <c r="B16" s="41"/>
      <c r="C16" s="42"/>
      <c r="D16" s="42"/>
      <c r="E16" s="43"/>
      <c r="F16" s="43"/>
      <c r="G16" s="46"/>
      <c r="H16" s="47"/>
      <c r="I16" s="53" t="s">
        <v>151</v>
      </c>
      <c r="J16" s="11">
        <v>22</v>
      </c>
      <c r="K16" s="55"/>
      <c r="L16" s="11">
        <v>0</v>
      </c>
      <c r="M16" s="11">
        <v>4.4</v>
      </c>
      <c r="N16" s="11">
        <v>6.8</v>
      </c>
      <c r="O16" s="11">
        <v>0</v>
      </c>
      <c r="P16" s="50"/>
      <c r="Q16" s="50">
        <f>L16*$J$16</f>
        <v>0</v>
      </c>
      <c r="R16" s="50">
        <f>M16*$J$16</f>
        <v>96.80000000000001</v>
      </c>
      <c r="S16" s="50">
        <f>N16*$J$16</f>
        <v>149.6</v>
      </c>
      <c r="T16" s="50">
        <f>O16*$J$16</f>
        <v>0</v>
      </c>
      <c r="U16" s="50"/>
      <c r="V16" s="50"/>
      <c r="W16" s="50"/>
      <c r="X16" s="50"/>
      <c r="Y16" s="47"/>
    </row>
    <row r="17" spans="1:25" ht="12">
      <c r="A17" s="61" t="s">
        <v>173</v>
      </c>
      <c r="B17" s="39"/>
      <c r="C17" s="8"/>
      <c r="D17" s="8"/>
      <c r="E17" s="12" t="s">
        <v>158</v>
      </c>
      <c r="F17" s="9"/>
      <c r="G17" s="47"/>
      <c r="H17" s="47"/>
      <c r="I17" s="53" t="s">
        <v>159</v>
      </c>
      <c r="J17" s="11">
        <v>16</v>
      </c>
      <c r="K17" s="55"/>
      <c r="L17" s="11">
        <v>0</v>
      </c>
      <c r="M17" s="11">
        <v>9.1</v>
      </c>
      <c r="N17" s="11">
        <v>0</v>
      </c>
      <c r="O17" s="11">
        <v>1.4</v>
      </c>
      <c r="P17" s="50"/>
      <c r="Q17" s="50">
        <f>L17*$J$17</f>
        <v>0</v>
      </c>
      <c r="R17" s="50">
        <f>M17*$J$17</f>
        <v>145.6</v>
      </c>
      <c r="S17" s="50">
        <f>N17*$J$17</f>
        <v>0</v>
      </c>
      <c r="T17" s="50">
        <f>O17*$J$17</f>
        <v>22.4</v>
      </c>
      <c r="U17" s="50"/>
      <c r="V17" s="50"/>
      <c r="W17" s="50"/>
      <c r="X17" s="50"/>
      <c r="Y17" s="47"/>
    </row>
    <row r="18" spans="1:25" ht="12">
      <c r="A18" s="10"/>
      <c r="B18" s="39"/>
      <c r="C18" s="8"/>
      <c r="D18" s="8"/>
      <c r="E18" s="44"/>
      <c r="F18" s="9"/>
      <c r="G18" s="47"/>
      <c r="H18" s="47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  <c r="U18" s="50"/>
      <c r="V18" s="50"/>
      <c r="W18" s="50"/>
      <c r="X18" s="50"/>
      <c r="Y18" s="47"/>
    </row>
    <row r="19" spans="1:25" ht="12">
      <c r="A19" s="10" t="s">
        <v>130</v>
      </c>
      <c r="B19" s="39"/>
      <c r="C19" s="8"/>
      <c r="D19" s="8"/>
      <c r="E19" s="13">
        <v>3101</v>
      </c>
      <c r="F19" s="9"/>
      <c r="G19" s="47"/>
      <c r="H19" s="47"/>
      <c r="I19" s="50" t="s">
        <v>135</v>
      </c>
      <c r="J19" s="11">
        <v>20</v>
      </c>
      <c r="K19" s="50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50"/>
      <c r="Q19" s="50">
        <f>L19*$J$19</f>
        <v>136</v>
      </c>
      <c r="R19" s="50">
        <f>M19*$J$19</f>
        <v>90</v>
      </c>
      <c r="S19" s="50">
        <f>N19*$J$19</f>
        <v>0</v>
      </c>
      <c r="T19" s="50">
        <f>O19*$J$19</f>
        <v>28</v>
      </c>
      <c r="U19" s="50"/>
      <c r="V19" s="50"/>
      <c r="W19" s="50"/>
      <c r="X19" s="50"/>
      <c r="Y19" s="47"/>
    </row>
    <row r="20" spans="1:25" ht="12">
      <c r="A20" s="10" t="s">
        <v>157</v>
      </c>
      <c r="B20" s="39"/>
      <c r="C20" s="8"/>
      <c r="D20" s="8"/>
      <c r="E20" s="44"/>
      <c r="F20" s="9"/>
      <c r="G20" s="47"/>
      <c r="H20" s="47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  <c r="U20" s="50"/>
      <c r="V20" s="50"/>
      <c r="W20" s="50"/>
      <c r="X20" s="50"/>
      <c r="Y20" s="47"/>
    </row>
    <row r="21" spans="1:25" ht="12">
      <c r="A21" s="10"/>
      <c r="B21" s="39"/>
      <c r="C21" s="8"/>
      <c r="D21" s="8"/>
      <c r="E21" s="44"/>
      <c r="F21" s="9"/>
      <c r="G21" s="47"/>
      <c r="H21" s="47"/>
      <c r="I21" s="50" t="s">
        <v>136</v>
      </c>
      <c r="J21" s="11">
        <v>6</v>
      </c>
      <c r="K21" s="50">
        <f>J21</f>
        <v>6</v>
      </c>
      <c r="L21" s="11">
        <v>4.5</v>
      </c>
      <c r="M21" s="11">
        <v>2.3</v>
      </c>
      <c r="N21" s="11">
        <v>0</v>
      </c>
      <c r="O21" s="11">
        <v>4.5</v>
      </c>
      <c r="P21" s="50"/>
      <c r="Q21" s="50">
        <f>L21*$J21</f>
        <v>27</v>
      </c>
      <c r="R21" s="50">
        <f>M21*$J21</f>
        <v>13.799999999999999</v>
      </c>
      <c r="S21" s="50">
        <f>N21*$J21</f>
        <v>0</v>
      </c>
      <c r="T21" s="50">
        <f>O21*$J21</f>
        <v>27</v>
      </c>
      <c r="U21" s="50"/>
      <c r="V21" s="50"/>
      <c r="W21" s="50"/>
      <c r="X21" s="50"/>
      <c r="Y21" s="47"/>
    </row>
    <row r="22" spans="1:25" ht="12">
      <c r="A22" s="10" t="s">
        <v>109</v>
      </c>
      <c r="B22" s="39"/>
      <c r="C22" s="8"/>
      <c r="D22" s="8"/>
      <c r="E22" s="13">
        <v>10</v>
      </c>
      <c r="F22" s="9"/>
      <c r="G22" s="47"/>
      <c r="H22" s="47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  <c r="U22" s="50"/>
      <c r="V22" s="50"/>
      <c r="W22" s="50"/>
      <c r="X22" s="50"/>
      <c r="Y22" s="47"/>
    </row>
    <row r="23" spans="1:25" ht="12">
      <c r="A23" s="10" t="s">
        <v>168</v>
      </c>
      <c r="B23" s="39"/>
      <c r="C23" s="8"/>
      <c r="D23" s="8"/>
      <c r="E23" s="44"/>
      <c r="F23" s="9"/>
      <c r="G23" s="47"/>
      <c r="H23" s="47"/>
      <c r="I23" s="50" t="s">
        <v>137</v>
      </c>
      <c r="J23" s="11">
        <v>110</v>
      </c>
      <c r="K23" s="50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50"/>
      <c r="Q23" s="50">
        <f>L23*$J$23</f>
        <v>495</v>
      </c>
      <c r="R23" s="50">
        <f>M23*$J$23</f>
        <v>0</v>
      </c>
      <c r="S23" s="50">
        <f>N23*$J$23</f>
        <v>0</v>
      </c>
      <c r="T23" s="50">
        <f>O23*$J$23</f>
        <v>748</v>
      </c>
      <c r="U23" s="50"/>
      <c r="V23" s="50"/>
      <c r="W23" s="50"/>
      <c r="X23" s="50"/>
      <c r="Y23" s="47"/>
    </row>
    <row r="24" spans="1:25" ht="12">
      <c r="A24" s="10"/>
      <c r="B24" s="39"/>
      <c r="C24" s="8"/>
      <c r="D24" s="8"/>
      <c r="E24" s="44"/>
      <c r="F24" s="9"/>
      <c r="G24" s="47"/>
      <c r="H24" s="47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7"/>
    </row>
    <row r="25" spans="1:25" ht="12">
      <c r="A25" s="10" t="s">
        <v>110</v>
      </c>
      <c r="B25" s="39"/>
      <c r="C25" s="8"/>
      <c r="D25" s="8"/>
      <c r="E25" s="13">
        <v>5</v>
      </c>
      <c r="F25" s="9"/>
      <c r="G25" s="47"/>
      <c r="H25" s="47"/>
      <c r="I25" s="50" t="s">
        <v>138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7"/>
    </row>
    <row r="26" spans="1:25" ht="12">
      <c r="A26" s="10" t="s">
        <v>169</v>
      </c>
      <c r="B26" s="39"/>
      <c r="C26" s="8"/>
      <c r="D26" s="8"/>
      <c r="E26" s="44"/>
      <c r="F26" s="9"/>
      <c r="G26" s="47"/>
      <c r="H26" s="47"/>
      <c r="I26" s="53" t="s">
        <v>139</v>
      </c>
      <c r="J26" s="11">
        <v>90</v>
      </c>
      <c r="K26" s="56"/>
      <c r="L26" s="11">
        <v>4.5</v>
      </c>
      <c r="M26" s="11">
        <v>0</v>
      </c>
      <c r="N26" s="11">
        <v>0</v>
      </c>
      <c r="O26" s="11">
        <v>6.8</v>
      </c>
      <c r="P26" s="50"/>
      <c r="Q26" s="50">
        <f>L26*$J$26</f>
        <v>405</v>
      </c>
      <c r="R26" s="50">
        <f>M26*$J$26</f>
        <v>0</v>
      </c>
      <c r="S26" s="50">
        <f>N26*$J$26</f>
        <v>0</v>
      </c>
      <c r="T26" s="50">
        <f>O26*$J$26</f>
        <v>612</v>
      </c>
      <c r="U26" s="50"/>
      <c r="V26" s="50"/>
      <c r="W26" s="50"/>
      <c r="X26" s="50"/>
      <c r="Y26" s="47"/>
    </row>
    <row r="27" spans="1:25" ht="12">
      <c r="A27" s="10"/>
      <c r="B27" s="39"/>
      <c r="C27" s="8"/>
      <c r="D27" s="8"/>
      <c r="E27" s="44"/>
      <c r="F27" s="9"/>
      <c r="G27" s="47"/>
      <c r="H27" s="47"/>
      <c r="I27" s="53" t="s">
        <v>140</v>
      </c>
      <c r="J27" s="11">
        <v>68</v>
      </c>
      <c r="K27" s="56"/>
      <c r="L27" s="11">
        <v>6.8</v>
      </c>
      <c r="M27" s="11">
        <v>2.3</v>
      </c>
      <c r="N27" s="11">
        <v>0</v>
      </c>
      <c r="O27" s="11">
        <v>4.5</v>
      </c>
      <c r="P27" s="50"/>
      <c r="Q27" s="50">
        <f>L27*$J$27</f>
        <v>462.4</v>
      </c>
      <c r="R27" s="50">
        <f>M27*$J$27</f>
        <v>156.39999999999998</v>
      </c>
      <c r="S27" s="50">
        <f>N27*$J$27</f>
        <v>0</v>
      </c>
      <c r="T27" s="50">
        <f>O27*$J$27</f>
        <v>306</v>
      </c>
      <c r="U27" s="50"/>
      <c r="V27" s="50"/>
      <c r="W27" s="50"/>
      <c r="X27" s="50"/>
      <c r="Y27" s="47"/>
    </row>
    <row r="28" spans="1:25" ht="12">
      <c r="A28" s="10" t="s">
        <v>174</v>
      </c>
      <c r="B28" s="39"/>
      <c r="C28" s="8"/>
      <c r="D28" s="8"/>
      <c r="E28" s="13">
        <v>704.88</v>
      </c>
      <c r="F28" s="9"/>
      <c r="G28" s="47"/>
      <c r="H28" s="47"/>
      <c r="I28" s="53" t="s">
        <v>141</v>
      </c>
      <c r="J28" s="11">
        <v>68</v>
      </c>
      <c r="K28" s="56"/>
      <c r="L28" s="11">
        <v>4.5</v>
      </c>
      <c r="M28" s="11">
        <v>4.5</v>
      </c>
      <c r="N28" s="11">
        <v>0</v>
      </c>
      <c r="O28" s="11">
        <v>4.5</v>
      </c>
      <c r="P28" s="50"/>
      <c r="Q28" s="50">
        <f>L28*$J$28</f>
        <v>306</v>
      </c>
      <c r="R28" s="50">
        <f>M28*$J$28</f>
        <v>306</v>
      </c>
      <c r="S28" s="50">
        <f>N28*$J$28</f>
        <v>0</v>
      </c>
      <c r="T28" s="50">
        <f>O28*$J$28</f>
        <v>306</v>
      </c>
      <c r="U28" s="50"/>
      <c r="V28" s="50"/>
      <c r="W28" s="50"/>
      <c r="X28" s="50"/>
      <c r="Y28" s="47"/>
    </row>
    <row r="29" spans="1:25" ht="12">
      <c r="A29" s="10"/>
      <c r="B29" s="39"/>
      <c r="C29" s="8"/>
      <c r="D29" s="8"/>
      <c r="E29" s="44"/>
      <c r="F29" s="9"/>
      <c r="G29" s="47"/>
      <c r="H29" s="47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7"/>
    </row>
    <row r="30" spans="1:25" ht="12">
      <c r="A30" s="10" t="s">
        <v>111</v>
      </c>
      <c r="B30" s="39"/>
      <c r="C30" s="8"/>
      <c r="D30" s="8"/>
      <c r="E30" s="13">
        <v>67</v>
      </c>
      <c r="F30" s="9"/>
      <c r="G30" s="47"/>
      <c r="H30" s="47"/>
      <c r="I30" s="50" t="s">
        <v>142</v>
      </c>
      <c r="J30" s="11">
        <v>10</v>
      </c>
      <c r="K30" s="57">
        <f>J30</f>
        <v>10</v>
      </c>
      <c r="L30" s="11">
        <v>11.4</v>
      </c>
      <c r="M30" s="11">
        <v>2.3</v>
      </c>
      <c r="N30" s="11">
        <v>0</v>
      </c>
      <c r="O30" s="11">
        <v>2.3</v>
      </c>
      <c r="P30" s="50"/>
      <c r="Q30" s="50">
        <f>L30*$J$30</f>
        <v>114</v>
      </c>
      <c r="R30" s="50">
        <f>M30*$J$30</f>
        <v>23</v>
      </c>
      <c r="S30" s="50">
        <f>N30*$J$30</f>
        <v>0</v>
      </c>
      <c r="T30" s="50">
        <f>O30*$J$30</f>
        <v>23</v>
      </c>
      <c r="U30" s="50"/>
      <c r="V30" s="50"/>
      <c r="W30" s="50"/>
      <c r="X30" s="50"/>
      <c r="Y30" s="47"/>
    </row>
    <row r="31" spans="1:25" ht="12">
      <c r="A31" s="10"/>
      <c r="B31" s="39"/>
      <c r="C31" s="8"/>
      <c r="D31" s="8"/>
      <c r="E31" s="44"/>
      <c r="F31" s="9"/>
      <c r="G31" s="47"/>
      <c r="H31" s="47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  <c r="U31" s="50"/>
      <c r="V31" s="50"/>
      <c r="W31" s="50"/>
      <c r="X31" s="50"/>
      <c r="Y31" s="47"/>
    </row>
    <row r="32" spans="1:25" ht="12">
      <c r="A32" s="10" t="s">
        <v>175</v>
      </c>
      <c r="B32" s="39"/>
      <c r="C32" s="8"/>
      <c r="D32" s="8"/>
      <c r="E32" s="13">
        <v>0.3048</v>
      </c>
      <c r="F32" s="9"/>
      <c r="G32" s="48">
        <f>(42.63*(1-($E$28*(200+$E$30)/300000))/($E$32*39.37))</f>
        <v>1.3238659297318596</v>
      </c>
      <c r="H32" s="47"/>
      <c r="I32" s="50" t="s">
        <v>143</v>
      </c>
      <c r="J32" s="50" t="s">
        <v>16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7"/>
    </row>
    <row r="33" spans="1:25" ht="12">
      <c r="A33" s="10" t="s">
        <v>176</v>
      </c>
      <c r="B33" s="39"/>
      <c r="C33" s="8"/>
      <c r="D33" s="8"/>
      <c r="E33" s="44"/>
      <c r="F33" s="9"/>
      <c r="G33" s="47"/>
      <c r="H33" s="47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7"/>
    </row>
    <row r="34" spans="1:25" ht="12">
      <c r="A34" s="10" t="s">
        <v>112</v>
      </c>
      <c r="B34" s="39"/>
      <c r="C34" s="8"/>
      <c r="D34" s="8"/>
      <c r="E34" s="13">
        <v>360</v>
      </c>
      <c r="F34" s="9"/>
      <c r="G34" s="47"/>
      <c r="H34" s="47"/>
      <c r="I34" s="50" t="s">
        <v>144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7"/>
    </row>
    <row r="35" spans="1:25" ht="12">
      <c r="A35" s="10"/>
      <c r="B35" s="39"/>
      <c r="C35" s="8"/>
      <c r="D35" s="8"/>
      <c r="E35" s="44"/>
      <c r="F35" s="9"/>
      <c r="G35" s="47"/>
      <c r="H35" s="47"/>
      <c r="I35" s="53" t="s">
        <v>145</v>
      </c>
      <c r="J35" s="11">
        <v>48</v>
      </c>
      <c r="K35" s="56"/>
      <c r="L35" s="11">
        <v>2.3</v>
      </c>
      <c r="M35" s="11">
        <v>0</v>
      </c>
      <c r="N35" s="11">
        <v>0</v>
      </c>
      <c r="O35" s="11">
        <v>0.91</v>
      </c>
      <c r="P35" s="50"/>
      <c r="Q35" s="50">
        <f>L35*$J$35</f>
        <v>110.39999999999999</v>
      </c>
      <c r="R35" s="50">
        <f>M35*$J$35</f>
        <v>0</v>
      </c>
      <c r="S35" s="50">
        <f>N35*$J$35</f>
        <v>0</v>
      </c>
      <c r="T35" s="50">
        <f>O35*$J$35</f>
        <v>43.68</v>
      </c>
      <c r="U35" s="50"/>
      <c r="V35" s="50"/>
      <c r="W35" s="50"/>
      <c r="X35" s="50"/>
      <c r="Y35" s="47"/>
    </row>
    <row r="36" spans="1:25" ht="12">
      <c r="A36" s="10" t="s">
        <v>113</v>
      </c>
      <c r="B36" s="39"/>
      <c r="C36" s="8"/>
      <c r="D36" s="8"/>
      <c r="E36" s="13">
        <v>46</v>
      </c>
      <c r="F36" s="9"/>
      <c r="G36" s="47"/>
      <c r="H36" s="47"/>
      <c r="I36" s="53" t="s">
        <v>146</v>
      </c>
      <c r="J36" s="11">
        <v>48</v>
      </c>
      <c r="K36" s="56"/>
      <c r="L36" s="11">
        <v>4.5</v>
      </c>
      <c r="M36" s="11">
        <v>0</v>
      </c>
      <c r="N36" s="11">
        <v>0</v>
      </c>
      <c r="O36" s="11">
        <v>1.4</v>
      </c>
      <c r="P36" s="50"/>
      <c r="Q36" s="50">
        <f>L36*$J$36</f>
        <v>216</v>
      </c>
      <c r="R36" s="50">
        <f>M36*$J$36</f>
        <v>0</v>
      </c>
      <c r="S36" s="50">
        <f>N36*$J$36</f>
        <v>0</v>
      </c>
      <c r="T36" s="50">
        <f>O36*$J$36</f>
        <v>67.19999999999999</v>
      </c>
      <c r="U36" s="50"/>
      <c r="V36" s="50"/>
      <c r="W36" s="50"/>
      <c r="X36" s="50"/>
      <c r="Y36" s="47"/>
    </row>
    <row r="37" spans="1:25" ht="12">
      <c r="A37" s="10" t="s">
        <v>114</v>
      </c>
      <c r="B37" s="39"/>
      <c r="C37" s="8"/>
      <c r="D37" s="8"/>
      <c r="E37" s="9"/>
      <c r="F37" s="9"/>
      <c r="G37" s="47"/>
      <c r="H37" s="47"/>
      <c r="I37" s="53" t="s">
        <v>147</v>
      </c>
      <c r="J37" s="11">
        <v>72</v>
      </c>
      <c r="K37" s="56"/>
      <c r="L37" s="11">
        <v>4.5</v>
      </c>
      <c r="M37" s="11">
        <v>2.3</v>
      </c>
      <c r="N37" s="11">
        <v>0</v>
      </c>
      <c r="O37" s="11">
        <v>1.8</v>
      </c>
      <c r="P37" s="50"/>
      <c r="Q37" s="50">
        <f>L37*$J$37</f>
        <v>324</v>
      </c>
      <c r="R37" s="50">
        <f>M37*$J$37</f>
        <v>165.6</v>
      </c>
      <c r="S37" s="50">
        <f>N37*$J$37</f>
        <v>0</v>
      </c>
      <c r="T37" s="50">
        <f>O37*$J$37</f>
        <v>129.6</v>
      </c>
      <c r="U37" s="50"/>
      <c r="V37" s="50"/>
      <c r="W37" s="50"/>
      <c r="X37" s="50"/>
      <c r="Y37" s="47"/>
    </row>
    <row r="38" spans="1:25" ht="12">
      <c r="A38" s="45" t="s">
        <v>179</v>
      </c>
      <c r="B38" s="40"/>
      <c r="C38" s="40"/>
      <c r="D38" s="40"/>
      <c r="E38" s="40"/>
      <c r="F38" s="40"/>
      <c r="G38" s="46"/>
      <c r="H38" s="47"/>
      <c r="I38" s="53" t="s">
        <v>148</v>
      </c>
      <c r="J38" s="11">
        <v>48</v>
      </c>
      <c r="K38" s="56"/>
      <c r="L38" s="11">
        <v>4.5</v>
      </c>
      <c r="M38" s="11">
        <v>4.5</v>
      </c>
      <c r="N38" s="11">
        <v>0</v>
      </c>
      <c r="O38" s="11">
        <v>1.8</v>
      </c>
      <c r="P38" s="50"/>
      <c r="Q38" s="50">
        <f>L38*$J$38</f>
        <v>216</v>
      </c>
      <c r="R38" s="50">
        <f>M38*$J$38</f>
        <v>216</v>
      </c>
      <c r="S38" s="50">
        <f>N38*$J$38</f>
        <v>0</v>
      </c>
      <c r="T38" s="50">
        <f>O38*$J$38</f>
        <v>86.4</v>
      </c>
      <c r="U38" s="50"/>
      <c r="V38" s="50"/>
      <c r="W38" s="50"/>
      <c r="X38" s="50"/>
      <c r="Y38" s="47"/>
    </row>
    <row r="39" spans="8:25" ht="12">
      <c r="H39" s="47"/>
      <c r="I39" s="53" t="s">
        <v>161</v>
      </c>
      <c r="J39" s="11">
        <v>156</v>
      </c>
      <c r="K39" s="56"/>
      <c r="L39" s="11">
        <v>6.6</v>
      </c>
      <c r="M39" s="11">
        <v>4.5</v>
      </c>
      <c r="N39" s="11">
        <v>0</v>
      </c>
      <c r="O39" s="11">
        <v>4.5</v>
      </c>
      <c r="P39" s="50"/>
      <c r="Q39" s="50">
        <f>L39*$J$39</f>
        <v>1029.6</v>
      </c>
      <c r="R39" s="50">
        <f>M39*$J$39</f>
        <v>702</v>
      </c>
      <c r="S39" s="50">
        <f>N39*$J$39</f>
        <v>0</v>
      </c>
      <c r="T39" s="50">
        <f>O39*$J$39</f>
        <v>702</v>
      </c>
      <c r="U39" s="50"/>
      <c r="V39" s="50"/>
      <c r="W39" s="50"/>
      <c r="X39" s="50"/>
      <c r="Y39" s="47"/>
    </row>
    <row r="40" spans="1:25" ht="12">
      <c r="A40" s="15" t="s">
        <v>115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  <c r="U40" s="50"/>
      <c r="V40" s="50"/>
      <c r="W40" s="50"/>
      <c r="X40" s="50"/>
      <c r="Y40" s="47"/>
    </row>
    <row r="41" spans="1:25" ht="12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144</v>
      </c>
      <c r="J41" s="50" t="s">
        <v>16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47"/>
    </row>
    <row r="42" spans="1:25" ht="12">
      <c r="A42" s="26"/>
      <c r="B42" s="26" t="s">
        <v>118</v>
      </c>
      <c r="C42" s="63" t="s">
        <v>120</v>
      </c>
      <c r="D42" s="63" t="s">
        <v>123</v>
      </c>
      <c r="E42" s="24" t="s">
        <v>127</v>
      </c>
      <c r="F42" s="24" t="s">
        <v>131</v>
      </c>
      <c r="G42" s="26" t="s">
        <v>132</v>
      </c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47"/>
    </row>
    <row r="43" spans="1:25" ht="12">
      <c r="A43" s="26" t="s">
        <v>117</v>
      </c>
      <c r="B43" s="62" t="s">
        <v>119</v>
      </c>
      <c r="C43" s="64" t="s">
        <v>121</v>
      </c>
      <c r="D43" s="63" t="s">
        <v>124</v>
      </c>
      <c r="E43" s="24" t="s">
        <v>128</v>
      </c>
      <c r="F43" s="24" t="s">
        <v>127</v>
      </c>
      <c r="G43" s="26" t="s">
        <v>162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47"/>
    </row>
    <row r="44" spans="1:25" ht="12">
      <c r="A44" s="26" t="s">
        <v>116</v>
      </c>
      <c r="B44" s="62" t="s">
        <v>124</v>
      </c>
      <c r="C44" s="63" t="s">
        <v>71</v>
      </c>
      <c r="D44" s="63"/>
      <c r="E44" s="24"/>
      <c r="F44" s="24" t="s">
        <v>163</v>
      </c>
      <c r="G44" s="26"/>
      <c r="H44" s="19"/>
      <c r="I44" s="50"/>
      <c r="J44" s="50"/>
      <c r="K44" s="50"/>
      <c r="L44" s="50"/>
      <c r="M44" s="50" t="s">
        <v>160</v>
      </c>
      <c r="N44" s="50"/>
      <c r="O44" s="50"/>
      <c r="P44" s="50"/>
      <c r="Q44" s="49">
        <f>SUM(Q14:Q39)</f>
        <v>3841.4</v>
      </c>
      <c r="R44" s="49">
        <f>SUM(R14:R39)</f>
        <v>2014.1999999999998</v>
      </c>
      <c r="S44" s="49">
        <f>SUM(S14:S39)</f>
        <v>372</v>
      </c>
      <c r="T44" s="49">
        <f>SUM(T14:T39)</f>
        <v>3101.2799999999997</v>
      </c>
      <c r="U44" s="50"/>
      <c r="V44" s="50"/>
      <c r="W44" s="50"/>
      <c r="X44" s="50"/>
      <c r="Y44" s="47"/>
    </row>
    <row r="45" spans="1:16" ht="12">
      <c r="A45" s="26"/>
      <c r="B45" s="62"/>
      <c r="C45" s="26" t="s">
        <v>122</v>
      </c>
      <c r="D45" s="63" t="s">
        <v>126</v>
      </c>
      <c r="E45" s="24"/>
      <c r="F45" s="24" t="s">
        <v>164</v>
      </c>
      <c r="G45" s="26"/>
      <c r="H45" s="19"/>
      <c r="P45" s="60" t="s">
        <v>156</v>
      </c>
    </row>
    <row r="46" spans="1:8" ht="12">
      <c r="A46" s="26" t="s">
        <v>126</v>
      </c>
      <c r="B46" s="62" t="s">
        <v>126</v>
      </c>
      <c r="C46" s="63"/>
      <c r="D46" s="63" t="s">
        <v>125</v>
      </c>
      <c r="E46" s="24" t="s">
        <v>129</v>
      </c>
      <c r="F46" s="24" t="s">
        <v>129</v>
      </c>
      <c r="G46" s="26" t="s">
        <v>77</v>
      </c>
      <c r="H46" s="19"/>
    </row>
    <row r="47" spans="1:8" ht="12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">
      <c r="A48" s="19">
        <v>1.5</v>
      </c>
      <c r="B48" s="27">
        <f aca="true" t="shared" si="0" ref="B48:B59">IF(($E$19/(1-($E$22+$E$25+$G$32)/100))/($E$32*$A48*$E$28*(1-($E$30/100)))&lt;2*$E$15,"Nao Usar",($E$19/(1-($E$22+$E$25+$G$32)/100))/($E$32*$A48*$E$28*(1-($E$30/100))))</f>
        <v>34.84695297558851</v>
      </c>
      <c r="C48" s="17">
        <f aca="true" t="shared" si="1" ref="C48:C59">IF(B48="Nao Usar","Nao Usar",ROUND(((+$E$32)*$E$34/$E$36+0.4),0))</f>
        <v>3</v>
      </c>
      <c r="D48" s="28">
        <f aca="true" t="shared" si="2" ref="D48:D59">IF(B48="Nao Usar","Nao Usar",((($E$19*$E$34/(1-($E$22+$E$25+$G$32)/100))/($E$28*(1-($E$30/100)))-(1.365*($A48^2)*$B48*$C48))/$C48)/($B48*$A48)+2.73*$A48)</f>
        <v>38.6235</v>
      </c>
      <c r="E48" s="18">
        <f aca="true" t="shared" si="3" ref="E48:E59">IF(B48="Nao Usar","Nao Usar",($E$19/(1-($E$22+$E$25+$G$32)/100)*($E$34/1000)*(1+0.0225*($B48/$I$53-1))))</f>
        <v>1326.7827812534124</v>
      </c>
      <c r="F48" s="18">
        <f aca="true" t="shared" si="4" ref="F48:F59">IF(B48="Nao Usar","Nao Usar",+$E48*($E$22+$E$25+$G$32+2.25*($B48*3.28/$I$53-1))/100)</f>
        <v>260.6350954018112</v>
      </c>
      <c r="G48" s="18">
        <f aca="true" t="shared" si="5" ref="G48:G59">IF(B48="Nao Usar","Nao Usar",($F48/$E48)*100)</f>
        <v>19.644142137237345</v>
      </c>
      <c r="H48" s="19"/>
    </row>
    <row r="49" spans="1:8" ht="12">
      <c r="A49" s="19">
        <v>2</v>
      </c>
      <c r="B49" s="27">
        <f t="shared" si="0"/>
        <v>26.135214731691377</v>
      </c>
      <c r="C49" s="17">
        <f t="shared" si="1"/>
        <v>3</v>
      </c>
      <c r="D49" s="28">
        <f t="shared" si="2"/>
        <v>39.306000000000004</v>
      </c>
      <c r="E49" s="18">
        <f t="shared" si="3"/>
        <v>1321.1184902720327</v>
      </c>
      <c r="F49" s="18">
        <f t="shared" si="4"/>
        <v>241.12490679621754</v>
      </c>
      <c r="G49" s="18">
        <f t="shared" si="5"/>
        <v>18.251573085360974</v>
      </c>
      <c r="H49" s="19"/>
    </row>
    <row r="50" spans="1:8" ht="12">
      <c r="A50" s="19">
        <v>2.5</v>
      </c>
      <c r="B50" s="27">
        <f t="shared" si="0"/>
        <v>20.908171785353105</v>
      </c>
      <c r="C50" s="17">
        <f t="shared" si="1"/>
        <v>3</v>
      </c>
      <c r="D50" s="28">
        <f t="shared" si="2"/>
        <v>39.98850000000001</v>
      </c>
      <c r="E50" s="18">
        <f t="shared" si="3"/>
        <v>1317.7199156832048</v>
      </c>
      <c r="F50" s="18">
        <f t="shared" si="4"/>
        <v>229.4945176295477</v>
      </c>
      <c r="G50" s="18">
        <f t="shared" si="5"/>
        <v>17.41603165423515</v>
      </c>
      <c r="H50" s="19"/>
    </row>
    <row r="51" spans="1:8" ht="12">
      <c r="A51" s="29">
        <v>3</v>
      </c>
      <c r="B51" s="27">
        <f t="shared" si="0"/>
        <v>17.423476487794254</v>
      </c>
      <c r="C51" s="30">
        <f t="shared" si="1"/>
        <v>3</v>
      </c>
      <c r="D51" s="31">
        <f t="shared" si="2"/>
        <v>40.671</v>
      </c>
      <c r="E51" s="32">
        <f t="shared" si="3"/>
        <v>1315.4541992906527</v>
      </c>
      <c r="F51" s="32">
        <f t="shared" si="4"/>
        <v>221.77247651705372</v>
      </c>
      <c r="G51" s="32">
        <f t="shared" si="5"/>
        <v>16.859004033484602</v>
      </c>
      <c r="H51" s="29"/>
    </row>
    <row r="52" spans="1:8" ht="12">
      <c r="A52" s="19">
        <v>3.5</v>
      </c>
      <c r="B52" s="27">
        <f t="shared" si="0"/>
        <v>14.934408418109362</v>
      </c>
      <c r="C52" s="17">
        <f t="shared" si="1"/>
        <v>3</v>
      </c>
      <c r="D52" s="28">
        <f t="shared" si="2"/>
        <v>41.3535</v>
      </c>
      <c r="E52" s="18">
        <f t="shared" si="3"/>
        <v>1313.83583043883</v>
      </c>
      <c r="F52" s="18">
        <f t="shared" si="4"/>
        <v>216.27218674214714</v>
      </c>
      <c r="G52" s="18">
        <f t="shared" si="5"/>
        <v>16.461127161519926</v>
      </c>
      <c r="H52" s="19"/>
    </row>
    <row r="53" spans="1:9" ht="12">
      <c r="A53" s="33">
        <v>3.66</v>
      </c>
      <c r="B53" s="27">
        <f t="shared" si="0"/>
        <v>14.281538104749387</v>
      </c>
      <c r="C53" s="34">
        <f t="shared" si="1"/>
        <v>3</v>
      </c>
      <c r="D53" s="35">
        <f t="shared" si="2"/>
        <v>41.5719</v>
      </c>
      <c r="E53" s="36">
        <f t="shared" si="3"/>
        <v>1313.411340248188</v>
      </c>
      <c r="F53" s="36">
        <f t="shared" si="4"/>
        <v>214.8316197359177</v>
      </c>
      <c r="G53" s="36">
        <f t="shared" si="5"/>
        <v>16.356766014775097</v>
      </c>
      <c r="H53" s="36" t="s">
        <v>78</v>
      </c>
      <c r="I53" s="37">
        <f>(($E$19*2.205)*12/(1-($E$22+$E$25)/100))/(($E$32*39.37)*12*($E$28/16.02)*(1-($E$30/100)))</f>
        <v>46.16835923025273</v>
      </c>
    </row>
    <row r="54" spans="1:8" ht="12">
      <c r="A54" s="19">
        <v>4</v>
      </c>
      <c r="B54" s="27">
        <f t="shared" si="0"/>
        <v>13.067607365845689</v>
      </c>
      <c r="C54" s="17">
        <f t="shared" si="1"/>
        <v>3</v>
      </c>
      <c r="D54" s="28">
        <f t="shared" si="2"/>
        <v>42.03600000000001</v>
      </c>
      <c r="E54" s="18">
        <f t="shared" si="3"/>
        <v>1312.622053799963</v>
      </c>
      <c r="F54" s="18">
        <f t="shared" si="4"/>
        <v>212.155420749883</v>
      </c>
      <c r="G54" s="18">
        <f t="shared" si="5"/>
        <v>16.162719507546413</v>
      </c>
      <c r="H54" s="17"/>
    </row>
    <row r="55" spans="1:8" ht="12">
      <c r="A55" s="19">
        <v>4.5</v>
      </c>
      <c r="B55" s="27">
        <f t="shared" si="0"/>
        <v>11.615650991862834</v>
      </c>
      <c r="C55" s="17">
        <f t="shared" si="1"/>
        <v>3</v>
      </c>
      <c r="D55" s="28">
        <f t="shared" si="2"/>
        <v>42.718500000000006</v>
      </c>
      <c r="E55" s="18">
        <f t="shared" si="3"/>
        <v>1311.6780053030664</v>
      </c>
      <c r="F55" s="18">
        <f t="shared" si="4"/>
        <v>208.9584998456278</v>
      </c>
      <c r="G55" s="18">
        <f t="shared" si="5"/>
        <v>15.930624665567022</v>
      </c>
      <c r="H55" s="17"/>
    </row>
    <row r="56" spans="1:8" ht="12">
      <c r="A56" s="19">
        <v>5</v>
      </c>
      <c r="B56" s="27">
        <f t="shared" si="0"/>
        <v>10.454085892676552</v>
      </c>
      <c r="C56" s="17">
        <f t="shared" si="1"/>
        <v>3</v>
      </c>
      <c r="D56" s="28">
        <f t="shared" si="2"/>
        <v>43.400999999999996</v>
      </c>
      <c r="E56" s="18">
        <f t="shared" si="3"/>
        <v>1310.922766505549</v>
      </c>
      <c r="F56" s="18">
        <f t="shared" si="4"/>
        <v>206.4041182887522</v>
      </c>
      <c r="G56" s="18">
        <f t="shared" si="5"/>
        <v>15.744948791983507</v>
      </c>
      <c r="H56" s="17"/>
    </row>
    <row r="57" spans="1:8" ht="12">
      <c r="A57" s="19">
        <v>5.5</v>
      </c>
      <c r="B57" s="27">
        <f t="shared" si="0"/>
        <v>9.503714447887775</v>
      </c>
      <c r="C57" s="17">
        <f t="shared" si="1"/>
        <v>3</v>
      </c>
      <c r="D57" s="28">
        <f t="shared" si="2"/>
        <v>44.0835</v>
      </c>
      <c r="E57" s="18">
        <f t="shared" si="3"/>
        <v>1310.3048438530348</v>
      </c>
      <c r="F57" s="18">
        <f t="shared" si="4"/>
        <v>204.31625580273237</v>
      </c>
      <c r="G57" s="18">
        <f t="shared" si="5"/>
        <v>15.593032168142448</v>
      </c>
      <c r="H57" s="17"/>
    </row>
    <row r="58" spans="1:8" ht="12">
      <c r="A58" s="19">
        <v>6</v>
      </c>
      <c r="B58" s="27">
        <f t="shared" si="0"/>
        <v>8.711738243897127</v>
      </c>
      <c r="C58" s="17">
        <f t="shared" si="1"/>
        <v>3</v>
      </c>
      <c r="D58" s="28">
        <f t="shared" si="2"/>
        <v>44.766</v>
      </c>
      <c r="E58" s="18">
        <f t="shared" si="3"/>
        <v>1309.789908309273</v>
      </c>
      <c r="F58" s="18">
        <f t="shared" si="4"/>
        <v>202.57780456431976</v>
      </c>
      <c r="G58" s="18">
        <f t="shared" si="5"/>
        <v>15.466434981608232</v>
      </c>
      <c r="H58" s="17"/>
    </row>
    <row r="59" spans="1:8" ht="12">
      <c r="A59" s="19">
        <v>6.5</v>
      </c>
      <c r="B59" s="27">
        <f t="shared" si="0"/>
        <v>8.041604532828117</v>
      </c>
      <c r="C59" s="17">
        <f t="shared" si="1"/>
        <v>3</v>
      </c>
      <c r="D59" s="28">
        <f t="shared" si="2"/>
        <v>45.448499999999996</v>
      </c>
      <c r="E59" s="18">
        <f t="shared" si="3"/>
        <v>1309.3541936183976</v>
      </c>
      <c r="F59" s="18">
        <f t="shared" si="4"/>
        <v>201.10782570573676</v>
      </c>
      <c r="G59" s="18">
        <f t="shared" si="5"/>
        <v>15.359314285310049</v>
      </c>
      <c r="H59" s="19"/>
    </row>
    <row r="60" spans="1:8" ht="12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">
      <c r="A61" s="5" t="s">
        <v>165</v>
      </c>
      <c r="B61" s="1"/>
      <c r="C61" s="2"/>
      <c r="D61" s="2"/>
      <c r="E61" s="3"/>
      <c r="F61" s="3"/>
    </row>
    <row r="62" spans="1:6" ht="12">
      <c r="A62" s="5" t="s">
        <v>166</v>
      </c>
      <c r="B62" s="1"/>
      <c r="C62" s="2"/>
      <c r="D62" s="2"/>
      <c r="E62" s="3"/>
      <c r="F62" s="3"/>
    </row>
    <row r="63" spans="2:6" ht="12">
      <c r="B63" s="1"/>
      <c r="C63" s="2"/>
      <c r="D63" s="2"/>
      <c r="E63" s="3"/>
      <c r="F63" s="3"/>
    </row>
    <row r="64" spans="2:6" ht="12"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75" right="0.75" top="1" bottom="1" header="0.5" footer="0.5"/>
  <pageSetup horizontalDpi="200" verticalDpi="200" orientation="portrait" scale="69" r:id="rId2"/>
  <colBreaks count="2" manualBreakCount="2">
    <brk id="8" max="61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4.57421875" style="0" customWidth="1"/>
    <col min="2" max="2" width="13.421875" style="0" customWidth="1"/>
    <col min="3" max="3" width="14.28125" style="0" customWidth="1"/>
    <col min="4" max="4" width="21.28125" style="0" customWidth="1"/>
    <col min="5" max="5" width="20.7109375" style="0" customWidth="1"/>
    <col min="6" max="6" width="17.28125" style="0" customWidth="1"/>
    <col min="7" max="7" width="14.140625" style="0" customWidth="1"/>
    <col min="8" max="8" width="16.28125" style="0" customWidth="1"/>
    <col min="9" max="9" width="13.00390625" style="0" customWidth="1"/>
    <col min="10" max="10" width="11.140625" style="0" customWidth="1"/>
    <col min="16" max="16" width="8.7109375" style="0" customWidth="1"/>
    <col min="17" max="17" width="11.140625" style="0" customWidth="1"/>
    <col min="18" max="18" width="10.57421875" style="0" customWidth="1"/>
    <col min="19" max="19" width="11.8515625" style="0" customWidth="1"/>
    <col min="20" max="20" width="13.00390625" style="0" customWidth="1"/>
  </cols>
  <sheetData>
    <row r="1" spans="1:6" ht="12">
      <c r="A1" s="60" t="s">
        <v>187</v>
      </c>
      <c r="B1" s="1"/>
      <c r="C1" s="2"/>
      <c r="D1" s="2"/>
      <c r="E1" s="3"/>
      <c r="F1" s="3"/>
    </row>
    <row r="2" spans="2:6" ht="12">
      <c r="B2" s="7" t="s">
        <v>188</v>
      </c>
      <c r="C2" s="2"/>
      <c r="D2" s="2"/>
      <c r="E2" s="3"/>
      <c r="F2" s="3"/>
    </row>
    <row r="3" spans="1:6" ht="12">
      <c r="A3" t="s">
        <v>189</v>
      </c>
      <c r="B3" s="1"/>
      <c r="C3" s="2"/>
      <c r="D3" s="2"/>
      <c r="E3" s="3"/>
      <c r="F3" s="3"/>
    </row>
    <row r="4" spans="1:6" ht="12">
      <c r="A4" t="s">
        <v>190</v>
      </c>
      <c r="B4" s="1"/>
      <c r="C4" s="2"/>
      <c r="D4" s="2"/>
      <c r="E4" s="3"/>
      <c r="F4" s="3"/>
    </row>
    <row r="5" spans="1:6" ht="12">
      <c r="A5" t="s">
        <v>191</v>
      </c>
      <c r="B5" s="1"/>
      <c r="C5" s="2"/>
      <c r="D5" s="2"/>
      <c r="E5" s="3"/>
      <c r="F5" s="3"/>
    </row>
    <row r="6" spans="1:20" ht="12">
      <c r="A6" t="s">
        <v>192</v>
      </c>
      <c r="B6" s="1"/>
      <c r="C6" s="2"/>
      <c r="D6" s="2"/>
      <c r="E6" s="3"/>
      <c r="F6" s="3"/>
      <c r="H6" s="70"/>
      <c r="I6" s="49" t="s">
        <v>193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2">
      <c r="A7" t="s">
        <v>98</v>
      </c>
      <c r="B7" s="1"/>
      <c r="C7" s="2"/>
      <c r="D7" s="2"/>
      <c r="E7" s="3"/>
      <c r="F7" s="3"/>
      <c r="H7" s="70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</row>
    <row r="8" spans="1:20" ht="12">
      <c r="A8" t="s">
        <v>6</v>
      </c>
      <c r="B8" s="1"/>
      <c r="C8" s="2"/>
      <c r="D8" s="2"/>
      <c r="E8" s="3"/>
      <c r="F8" s="3"/>
      <c r="H8" s="70"/>
      <c r="I8" s="50"/>
      <c r="J8" s="50"/>
      <c r="K8" s="50"/>
      <c r="L8" s="50" t="s">
        <v>194</v>
      </c>
      <c r="M8" s="50" t="s">
        <v>195</v>
      </c>
      <c r="N8" s="50" t="s">
        <v>196</v>
      </c>
      <c r="O8" s="50" t="s">
        <v>197</v>
      </c>
      <c r="P8" s="50"/>
      <c r="Q8" s="50" t="s">
        <v>194</v>
      </c>
      <c r="R8" s="50" t="s">
        <v>195</v>
      </c>
      <c r="S8" s="50" t="s">
        <v>196</v>
      </c>
      <c r="T8" s="50" t="s">
        <v>197</v>
      </c>
    </row>
    <row r="9" spans="1:20" ht="12">
      <c r="A9" t="s">
        <v>11</v>
      </c>
      <c r="B9" s="1"/>
      <c r="C9" s="2"/>
      <c r="E9" s="58"/>
      <c r="F9" s="58"/>
      <c r="G9" s="47"/>
      <c r="H9" s="70"/>
      <c r="I9" s="50"/>
      <c r="J9" s="50" t="s">
        <v>198</v>
      </c>
      <c r="K9" s="50"/>
      <c r="L9" s="50" t="s">
        <v>199</v>
      </c>
      <c r="M9" s="50" t="s">
        <v>199</v>
      </c>
      <c r="N9" s="50" t="s">
        <v>199</v>
      </c>
      <c r="O9" s="50" t="s">
        <v>200</v>
      </c>
      <c r="P9" s="50"/>
      <c r="Q9" s="50" t="s">
        <v>199</v>
      </c>
      <c r="R9" s="50" t="s">
        <v>199</v>
      </c>
      <c r="S9" s="50" t="s">
        <v>199</v>
      </c>
      <c r="T9" s="50" t="s">
        <v>200</v>
      </c>
    </row>
    <row r="10" spans="1:20" ht="12">
      <c r="A10" s="6" t="s">
        <v>81</v>
      </c>
      <c r="B10" s="1"/>
      <c r="C10" s="2"/>
      <c r="D10" s="2"/>
      <c r="E10" s="3"/>
      <c r="F10" s="3"/>
      <c r="H10" s="70"/>
      <c r="I10" s="50"/>
      <c r="J10" s="50" t="s">
        <v>201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2:20" ht="12">
      <c r="B11" s="1"/>
      <c r="C11" s="2"/>
      <c r="D11" s="2"/>
      <c r="E11" s="3"/>
      <c r="F11" s="3"/>
      <c r="H11" s="70"/>
      <c r="I11" s="50" t="s">
        <v>202</v>
      </c>
      <c r="J11" s="50" t="s">
        <v>203</v>
      </c>
      <c r="K11" s="50" t="s">
        <v>204</v>
      </c>
      <c r="L11" s="52" t="s">
        <v>205</v>
      </c>
      <c r="M11" s="50"/>
      <c r="N11" s="50"/>
      <c r="O11" s="50"/>
      <c r="P11" s="50"/>
      <c r="Q11" s="52" t="s">
        <v>206</v>
      </c>
      <c r="R11" s="50"/>
      <c r="S11" s="50"/>
      <c r="T11" s="50"/>
    </row>
    <row r="12" spans="2:20" ht="12">
      <c r="B12" s="1"/>
      <c r="C12" s="8" t="s">
        <v>207</v>
      </c>
      <c r="D12" s="8"/>
      <c r="E12" s="9"/>
      <c r="F12" s="9"/>
      <c r="G12" s="10"/>
      <c r="H12" s="70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</row>
    <row r="13" spans="1:20" ht="12">
      <c r="A13" s="38" t="s">
        <v>208</v>
      </c>
      <c r="B13" s="39"/>
      <c r="C13" s="8"/>
      <c r="D13" s="8"/>
      <c r="E13" s="9"/>
      <c r="F13" s="9"/>
      <c r="H13" s="70"/>
      <c r="I13" s="50" t="s">
        <v>209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2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H14" s="70"/>
      <c r="I14" s="53" t="s">
        <v>210</v>
      </c>
      <c r="J14" s="11">
        <v>8</v>
      </c>
      <c r="K14" s="55"/>
      <c r="L14" s="11">
        <v>0</v>
      </c>
      <c r="M14" s="11">
        <v>0</v>
      </c>
      <c r="N14" s="11">
        <v>9.1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72.8</v>
      </c>
      <c r="T14" s="50">
        <f>O14*$J$14</f>
        <v>0</v>
      </c>
    </row>
    <row r="15" spans="1:20" ht="12">
      <c r="A15" s="10" t="s">
        <v>211</v>
      </c>
      <c r="B15" s="39"/>
      <c r="C15" s="8"/>
      <c r="D15" s="8"/>
      <c r="E15" s="13">
        <v>3</v>
      </c>
      <c r="F15" s="9"/>
      <c r="G15" s="47"/>
      <c r="H15" s="70"/>
      <c r="I15" s="53" t="s">
        <v>212</v>
      </c>
      <c r="J15" s="11">
        <v>22</v>
      </c>
      <c r="K15" s="55"/>
      <c r="L15" s="11">
        <v>0</v>
      </c>
      <c r="M15" s="11">
        <v>4.5</v>
      </c>
      <c r="N15" s="11">
        <v>6.8</v>
      </c>
      <c r="O15" s="11">
        <v>0</v>
      </c>
      <c r="P15" s="50"/>
      <c r="Q15" s="50">
        <f>L15*$J$15</f>
        <v>0</v>
      </c>
      <c r="R15" s="50">
        <f>M15*$J$15</f>
        <v>99</v>
      </c>
      <c r="S15" s="50">
        <f>N15*$J$15</f>
        <v>149.6</v>
      </c>
      <c r="T15" s="50">
        <f>O15*$J$15</f>
        <v>0</v>
      </c>
    </row>
    <row r="16" spans="1:20" ht="12">
      <c r="A16" s="45"/>
      <c r="B16" s="41"/>
      <c r="C16" s="42"/>
      <c r="D16" s="42"/>
      <c r="E16" s="43"/>
      <c r="F16" s="43"/>
      <c r="G16" s="46"/>
      <c r="H16" s="70"/>
      <c r="I16" s="53" t="s">
        <v>213</v>
      </c>
      <c r="J16" s="11">
        <v>22</v>
      </c>
      <c r="K16" s="55"/>
      <c r="L16" s="11">
        <v>0</v>
      </c>
      <c r="M16" s="11">
        <v>4.4</v>
      </c>
      <c r="N16" s="11">
        <v>6.8</v>
      </c>
      <c r="O16" s="11">
        <v>0</v>
      </c>
      <c r="P16" s="50"/>
      <c r="Q16" s="50">
        <f>L16*$J$16</f>
        <v>0</v>
      </c>
      <c r="R16" s="50">
        <f>M16*$J$16</f>
        <v>96.80000000000001</v>
      </c>
      <c r="S16" s="50">
        <f>N16*$J$16</f>
        <v>149.6</v>
      </c>
      <c r="T16" s="50">
        <f>O16*$J$16</f>
        <v>0</v>
      </c>
    </row>
    <row r="17" spans="1:20" ht="12">
      <c r="A17" s="10" t="s">
        <v>214</v>
      </c>
      <c r="B17" s="39"/>
      <c r="C17" s="8"/>
      <c r="D17" s="8"/>
      <c r="E17" s="12" t="s">
        <v>215</v>
      </c>
      <c r="F17" s="9"/>
      <c r="G17" s="47"/>
      <c r="H17" s="70"/>
      <c r="I17" s="53" t="s">
        <v>216</v>
      </c>
      <c r="J17" s="11">
        <v>16</v>
      </c>
      <c r="K17" s="55"/>
      <c r="L17" s="11">
        <v>0</v>
      </c>
      <c r="M17" s="11">
        <v>9.1</v>
      </c>
      <c r="N17" s="11">
        <v>0</v>
      </c>
      <c r="O17" s="11">
        <v>1.4</v>
      </c>
      <c r="P17" s="50"/>
      <c r="Q17" s="50">
        <f>L17*$J$17</f>
        <v>0</v>
      </c>
      <c r="R17" s="50">
        <f>M17*$J$17</f>
        <v>145.6</v>
      </c>
      <c r="S17" s="50">
        <f>N17*$J$17</f>
        <v>0</v>
      </c>
      <c r="T17" s="50">
        <f>O17*$J$17</f>
        <v>22.4</v>
      </c>
    </row>
    <row r="18" spans="1:20" ht="12">
      <c r="A18" s="10"/>
      <c r="B18" s="39"/>
      <c r="C18" s="8"/>
      <c r="D18" s="8"/>
      <c r="E18" s="44"/>
      <c r="F18" s="9"/>
      <c r="G18" s="47"/>
      <c r="H18" s="70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</row>
    <row r="19" spans="1:20" ht="12">
      <c r="A19" s="10" t="s">
        <v>217</v>
      </c>
      <c r="B19" s="39"/>
      <c r="C19" s="8"/>
      <c r="D19" s="8"/>
      <c r="E19" s="13">
        <v>14200</v>
      </c>
      <c r="F19" s="9"/>
      <c r="G19" s="47"/>
      <c r="H19" s="70"/>
      <c r="I19" s="50" t="s">
        <v>218</v>
      </c>
      <c r="J19" s="11">
        <v>20</v>
      </c>
      <c r="K19" s="50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50"/>
      <c r="Q19" s="50">
        <f>L19*$J$19</f>
        <v>136</v>
      </c>
      <c r="R19" s="50">
        <f>M19*$J$19</f>
        <v>90</v>
      </c>
      <c r="S19" s="50">
        <f>N19*$J$19</f>
        <v>0</v>
      </c>
      <c r="T19" s="50">
        <f>O19*$J$19</f>
        <v>28</v>
      </c>
    </row>
    <row r="20" spans="1:20" ht="12">
      <c r="A20" s="66" t="s">
        <v>219</v>
      </c>
      <c r="B20" s="39"/>
      <c r="C20" s="8"/>
      <c r="D20" s="8"/>
      <c r="E20" s="44"/>
      <c r="F20" s="9"/>
      <c r="G20" s="47"/>
      <c r="H20" s="70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</row>
    <row r="21" spans="1:20" ht="12">
      <c r="A21" s="10"/>
      <c r="B21" s="39"/>
      <c r="C21" s="8"/>
      <c r="D21" s="8"/>
      <c r="E21" s="44"/>
      <c r="F21" s="9"/>
      <c r="G21" s="47"/>
      <c r="H21" s="70"/>
      <c r="I21" s="50" t="s">
        <v>220</v>
      </c>
      <c r="J21" s="11">
        <v>6</v>
      </c>
      <c r="K21" s="50">
        <f>J21</f>
        <v>6</v>
      </c>
      <c r="L21" s="11">
        <v>4.5</v>
      </c>
      <c r="M21" s="11">
        <v>2.3</v>
      </c>
      <c r="N21" s="11">
        <v>0</v>
      </c>
      <c r="O21" s="11">
        <v>4.5</v>
      </c>
      <c r="P21" s="50"/>
      <c r="Q21" s="50">
        <f>L21*$J21</f>
        <v>27</v>
      </c>
      <c r="R21" s="50">
        <f>M21*$J21</f>
        <v>13.799999999999999</v>
      </c>
      <c r="S21" s="50">
        <f>N21*$J21</f>
        <v>0</v>
      </c>
      <c r="T21" s="50">
        <f>O21*$J21</f>
        <v>27</v>
      </c>
    </row>
    <row r="22" spans="1:20" ht="12">
      <c r="A22" s="10" t="s">
        <v>221</v>
      </c>
      <c r="B22" s="39"/>
      <c r="C22" s="8"/>
      <c r="D22" s="8"/>
      <c r="E22" s="13">
        <v>10</v>
      </c>
      <c r="F22" s="9"/>
      <c r="G22" s="47"/>
      <c r="H22" s="70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</row>
    <row r="23" spans="1:20" ht="12">
      <c r="A23" s="10" t="s">
        <v>222</v>
      </c>
      <c r="B23" s="39"/>
      <c r="C23" s="8"/>
      <c r="D23" s="8"/>
      <c r="E23" s="44"/>
      <c r="F23" s="9"/>
      <c r="G23" s="47"/>
      <c r="H23" s="70"/>
      <c r="I23" s="50" t="s">
        <v>223</v>
      </c>
      <c r="J23" s="11">
        <v>110</v>
      </c>
      <c r="K23" s="50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50"/>
      <c r="Q23" s="50">
        <f>L23*$J$23</f>
        <v>495</v>
      </c>
      <c r="R23" s="50">
        <f>M23*$J$23</f>
        <v>0</v>
      </c>
      <c r="S23" s="50">
        <f>N23*$J$23</f>
        <v>0</v>
      </c>
      <c r="T23" s="50">
        <f>O23*$J$23</f>
        <v>748</v>
      </c>
    </row>
    <row r="24" spans="1:20" ht="12">
      <c r="A24" s="10"/>
      <c r="B24" s="39"/>
      <c r="C24" s="8"/>
      <c r="D24" s="8"/>
      <c r="E24" s="44"/>
      <c r="F24" s="9"/>
      <c r="G24" s="47"/>
      <c r="H24" s="7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2">
      <c r="A25" s="10" t="s">
        <v>224</v>
      </c>
      <c r="B25" s="39"/>
      <c r="C25" s="8"/>
      <c r="D25" s="8"/>
      <c r="E25" s="13">
        <v>5</v>
      </c>
      <c r="F25" s="9"/>
      <c r="G25" s="47"/>
      <c r="H25" s="70"/>
      <c r="I25" s="50" t="s">
        <v>225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2">
      <c r="A26" s="10" t="s">
        <v>226</v>
      </c>
      <c r="B26" s="39"/>
      <c r="C26" s="8"/>
      <c r="D26" s="8"/>
      <c r="E26" s="44"/>
      <c r="F26" s="9"/>
      <c r="G26" s="47"/>
      <c r="H26" s="70"/>
      <c r="I26" s="53" t="s">
        <v>227</v>
      </c>
      <c r="J26" s="11">
        <v>90</v>
      </c>
      <c r="K26" s="56"/>
      <c r="L26" s="11">
        <v>4.5</v>
      </c>
      <c r="M26" s="11">
        <v>0</v>
      </c>
      <c r="N26" s="11">
        <v>0</v>
      </c>
      <c r="O26" s="11">
        <v>6.8</v>
      </c>
      <c r="P26" s="50"/>
      <c r="Q26" s="50">
        <f>L26*$J$26</f>
        <v>405</v>
      </c>
      <c r="R26" s="50">
        <f>M26*$J$26</f>
        <v>0</v>
      </c>
      <c r="S26" s="50">
        <f>N26*$J$26</f>
        <v>0</v>
      </c>
      <c r="T26" s="50">
        <f>O26*$J$26</f>
        <v>612</v>
      </c>
    </row>
    <row r="27" spans="1:20" ht="12">
      <c r="A27" s="10"/>
      <c r="B27" s="39"/>
      <c r="C27" s="8"/>
      <c r="D27" s="8"/>
      <c r="E27" s="44"/>
      <c r="F27" s="9"/>
      <c r="G27" s="47"/>
      <c r="H27" s="70"/>
      <c r="I27" s="53" t="s">
        <v>228</v>
      </c>
      <c r="J27" s="11">
        <v>68</v>
      </c>
      <c r="K27" s="56"/>
      <c r="L27" s="11">
        <v>6.8</v>
      </c>
      <c r="M27" s="11">
        <v>2.3</v>
      </c>
      <c r="N27" s="11">
        <v>0</v>
      </c>
      <c r="O27" s="11">
        <v>4.5</v>
      </c>
      <c r="P27" s="50"/>
      <c r="Q27" s="50">
        <f>L27*$J$27</f>
        <v>462.4</v>
      </c>
      <c r="R27" s="50">
        <f>M27*$J$27</f>
        <v>156.39999999999998</v>
      </c>
      <c r="S27" s="50">
        <f>N27*$J$27</f>
        <v>0</v>
      </c>
      <c r="T27" s="50">
        <f>O27*$J$27</f>
        <v>306</v>
      </c>
    </row>
    <row r="28" spans="1:20" ht="12">
      <c r="A28" s="10" t="s">
        <v>229</v>
      </c>
      <c r="B28" s="39"/>
      <c r="C28" s="8"/>
      <c r="D28" s="8"/>
      <c r="E28" s="13">
        <v>641</v>
      </c>
      <c r="F28" s="9"/>
      <c r="G28" s="47"/>
      <c r="H28" s="70"/>
      <c r="I28" s="53" t="s">
        <v>230</v>
      </c>
      <c r="J28" s="11">
        <v>68</v>
      </c>
      <c r="K28" s="56"/>
      <c r="L28" s="11">
        <v>4.5</v>
      </c>
      <c r="M28" s="11">
        <v>4.5</v>
      </c>
      <c r="N28" s="11">
        <v>0</v>
      </c>
      <c r="O28" s="11">
        <v>4.5</v>
      </c>
      <c r="P28" s="50"/>
      <c r="Q28" s="50">
        <f>L28*$J$28</f>
        <v>306</v>
      </c>
      <c r="R28" s="50">
        <f>M28*$J$28</f>
        <v>306</v>
      </c>
      <c r="S28" s="50">
        <f>N28*$J$28</f>
        <v>0</v>
      </c>
      <c r="T28" s="50">
        <f>O28*$J$28</f>
        <v>306</v>
      </c>
    </row>
    <row r="29" spans="1:20" ht="12">
      <c r="A29" s="10"/>
      <c r="B29" s="39"/>
      <c r="C29" s="8"/>
      <c r="D29" s="8"/>
      <c r="E29" s="44"/>
      <c r="F29" s="9"/>
      <c r="G29" s="47"/>
      <c r="H29" s="7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">
      <c r="A30" s="10" t="s">
        <v>271</v>
      </c>
      <c r="B30" s="39"/>
      <c r="C30" s="8"/>
      <c r="D30" s="8"/>
      <c r="E30" s="13">
        <v>65</v>
      </c>
      <c r="F30" s="9"/>
      <c r="G30" s="47"/>
      <c r="H30" s="70"/>
      <c r="I30" s="50" t="s">
        <v>231</v>
      </c>
      <c r="J30" s="11">
        <v>10</v>
      </c>
      <c r="K30" s="57">
        <f>J30</f>
        <v>10</v>
      </c>
      <c r="L30" s="11">
        <v>11.4</v>
      </c>
      <c r="M30" s="11">
        <v>2.3</v>
      </c>
      <c r="N30" s="11">
        <v>0</v>
      </c>
      <c r="O30" s="11">
        <v>2.3</v>
      </c>
      <c r="P30" s="50"/>
      <c r="Q30" s="50">
        <f>L30*$J$30</f>
        <v>114</v>
      </c>
      <c r="R30" s="50">
        <f>M30*$J$30</f>
        <v>23</v>
      </c>
      <c r="S30" s="50">
        <f>N30*$J$30</f>
        <v>0</v>
      </c>
      <c r="T30" s="50">
        <f>O30*$J$30</f>
        <v>23</v>
      </c>
    </row>
    <row r="31" spans="1:20" ht="12">
      <c r="A31" s="10"/>
      <c r="B31" s="39"/>
      <c r="C31" s="8"/>
      <c r="D31" s="8"/>
      <c r="E31" s="44"/>
      <c r="F31" s="9"/>
      <c r="G31" s="47"/>
      <c r="H31" s="70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</row>
    <row r="32" spans="1:20" ht="12">
      <c r="A32" s="10" t="s">
        <v>232</v>
      </c>
      <c r="B32" s="39"/>
      <c r="C32" s="8"/>
      <c r="D32" s="8"/>
      <c r="E32" s="13">
        <v>0.5</v>
      </c>
      <c r="F32" s="9"/>
      <c r="G32" s="48">
        <f>(42.63*(1-($E$28*(200+$E$30)/300000))/($E$32*39.37))</f>
        <v>0.9394048006096013</v>
      </c>
      <c r="H32" s="70"/>
      <c r="I32" s="50" t="s">
        <v>233</v>
      </c>
      <c r="J32" s="50" t="s">
        <v>204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">
      <c r="A33" s="10"/>
      <c r="B33" s="39"/>
      <c r="C33" s="8"/>
      <c r="D33" s="8"/>
      <c r="E33" s="44"/>
      <c r="F33" s="9"/>
      <c r="G33" s="47"/>
      <c r="H33" s="70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2">
      <c r="A34" s="10" t="s">
        <v>270</v>
      </c>
      <c r="B34" s="39"/>
      <c r="C34" s="8"/>
      <c r="D34" s="8"/>
      <c r="E34" s="13">
        <v>365</v>
      </c>
      <c r="F34" s="9"/>
      <c r="G34" s="47"/>
      <c r="H34" s="70"/>
      <c r="I34" s="50" t="s">
        <v>234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12">
      <c r="A35" s="10"/>
      <c r="B35" s="39"/>
      <c r="C35" s="8"/>
      <c r="D35" s="8"/>
      <c r="E35" s="44"/>
      <c r="F35" s="9"/>
      <c r="G35" s="47"/>
      <c r="H35" s="70"/>
      <c r="I35" s="53" t="s">
        <v>235</v>
      </c>
      <c r="J35" s="11">
        <v>48</v>
      </c>
      <c r="K35" s="56"/>
      <c r="L35" s="11">
        <v>2.3</v>
      </c>
      <c r="M35" s="11">
        <v>0</v>
      </c>
      <c r="N35" s="11">
        <v>0</v>
      </c>
      <c r="O35" s="11">
        <v>0.91</v>
      </c>
      <c r="P35" s="50"/>
      <c r="Q35" s="50">
        <f>L35*$J$35</f>
        <v>110.39999999999999</v>
      </c>
      <c r="R35" s="50">
        <f>M35*$J$35</f>
        <v>0</v>
      </c>
      <c r="S35" s="50">
        <f>N35*$J$35</f>
        <v>0</v>
      </c>
      <c r="T35" s="50">
        <f>O35*$J$35</f>
        <v>43.68</v>
      </c>
    </row>
    <row r="36" spans="1:20" ht="12">
      <c r="A36" s="10" t="s">
        <v>236</v>
      </c>
      <c r="B36" s="39"/>
      <c r="C36" s="8"/>
      <c r="D36" s="8"/>
      <c r="E36" s="13">
        <v>46</v>
      </c>
      <c r="F36" s="9"/>
      <c r="G36" s="47"/>
      <c r="H36" s="70"/>
      <c r="I36" s="53" t="s">
        <v>237</v>
      </c>
      <c r="J36" s="11">
        <v>48</v>
      </c>
      <c r="K36" s="56"/>
      <c r="L36" s="11">
        <v>4.5</v>
      </c>
      <c r="M36" s="11">
        <v>0</v>
      </c>
      <c r="N36" s="11">
        <v>0</v>
      </c>
      <c r="O36" s="11">
        <v>1.4</v>
      </c>
      <c r="P36" s="50"/>
      <c r="Q36" s="50">
        <f>L36*$J$36</f>
        <v>216</v>
      </c>
      <c r="R36" s="50">
        <f>M36*$J$36</f>
        <v>0</v>
      </c>
      <c r="S36" s="50">
        <f>N36*$J$36</f>
        <v>0</v>
      </c>
      <c r="T36" s="50">
        <f>O36*$J$36</f>
        <v>67.19999999999999</v>
      </c>
    </row>
    <row r="37" spans="1:20" ht="12">
      <c r="A37" s="10" t="s">
        <v>238</v>
      </c>
      <c r="B37" s="39"/>
      <c r="C37" s="8"/>
      <c r="D37" s="8"/>
      <c r="E37" s="9"/>
      <c r="F37" s="9"/>
      <c r="G37" s="47"/>
      <c r="H37" s="70"/>
      <c r="I37" s="53" t="s">
        <v>239</v>
      </c>
      <c r="J37" s="11">
        <v>72</v>
      </c>
      <c r="K37" s="56"/>
      <c r="L37" s="11">
        <v>4.5</v>
      </c>
      <c r="M37" s="11">
        <v>2.3</v>
      </c>
      <c r="N37" s="11">
        <v>0</v>
      </c>
      <c r="O37" s="11">
        <v>1.8</v>
      </c>
      <c r="P37" s="50"/>
      <c r="Q37" s="50">
        <f>L37*$J$37</f>
        <v>324</v>
      </c>
      <c r="R37" s="50">
        <f>M37*$J$37</f>
        <v>165.6</v>
      </c>
      <c r="S37" s="50">
        <f>N37*$J$37</f>
        <v>0</v>
      </c>
      <c r="T37" s="50">
        <f>O37*$J$37</f>
        <v>129.6</v>
      </c>
    </row>
    <row r="38" spans="1:20" ht="12">
      <c r="A38" s="45" t="s">
        <v>95</v>
      </c>
      <c r="B38" s="40"/>
      <c r="C38" s="40"/>
      <c r="D38" s="40"/>
      <c r="E38" s="40"/>
      <c r="F38" s="40"/>
      <c r="G38" s="46"/>
      <c r="H38" s="70"/>
      <c r="I38" s="53" t="s">
        <v>240</v>
      </c>
      <c r="J38" s="11">
        <v>48</v>
      </c>
      <c r="K38" s="56"/>
      <c r="L38" s="11">
        <v>4.5</v>
      </c>
      <c r="M38" s="11">
        <v>4.5</v>
      </c>
      <c r="N38" s="11">
        <v>0</v>
      </c>
      <c r="O38" s="11">
        <v>1.8</v>
      </c>
      <c r="P38" s="50"/>
      <c r="Q38" s="50">
        <f>L38*$J$38</f>
        <v>216</v>
      </c>
      <c r="R38" s="50">
        <f>M38*$J$38</f>
        <v>216</v>
      </c>
      <c r="S38" s="50">
        <f>N38*$J$38</f>
        <v>0</v>
      </c>
      <c r="T38" s="50">
        <f>O38*$J$38</f>
        <v>86.4</v>
      </c>
    </row>
    <row r="39" spans="8:20" ht="12">
      <c r="H39" s="70"/>
      <c r="I39" s="53" t="s">
        <v>241</v>
      </c>
      <c r="J39" s="11">
        <v>156</v>
      </c>
      <c r="K39" s="56"/>
      <c r="L39" s="11">
        <v>6.6</v>
      </c>
      <c r="M39" s="11">
        <v>4.5</v>
      </c>
      <c r="N39" s="11">
        <v>0</v>
      </c>
      <c r="O39" s="11">
        <v>4.5</v>
      </c>
      <c r="P39" s="50"/>
      <c r="Q39" s="50">
        <f>L39*$J$39</f>
        <v>1029.6</v>
      </c>
      <c r="R39" s="50">
        <f>M39*$J$39</f>
        <v>702</v>
      </c>
      <c r="S39" s="50">
        <f>N39*$J$39</f>
        <v>0</v>
      </c>
      <c r="T39" s="50">
        <f>O39*$J$39</f>
        <v>702</v>
      </c>
    </row>
    <row r="40" spans="1:20" ht="12">
      <c r="A40" s="15" t="s">
        <v>242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</row>
    <row r="41" spans="1:20" ht="12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243</v>
      </c>
      <c r="J41" s="50" t="s">
        <v>204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2">
      <c r="A42" s="19"/>
      <c r="B42" s="26" t="s">
        <v>244</v>
      </c>
      <c r="C42" s="63" t="s">
        <v>245</v>
      </c>
      <c r="D42" s="63" t="s">
        <v>246</v>
      </c>
      <c r="E42" s="24" t="s">
        <v>247</v>
      </c>
      <c r="F42" s="24" t="s">
        <v>248</v>
      </c>
      <c r="G42" s="19"/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12">
      <c r="A43" s="19" t="s">
        <v>249</v>
      </c>
      <c r="B43" s="62" t="s">
        <v>250</v>
      </c>
      <c r="C43" s="64"/>
      <c r="D43" s="63" t="s">
        <v>251</v>
      </c>
      <c r="E43" s="24" t="s">
        <v>252</v>
      </c>
      <c r="F43" s="24" t="s">
        <v>253</v>
      </c>
      <c r="G43" s="26" t="s">
        <v>254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2">
      <c r="A44" s="19" t="s">
        <v>255</v>
      </c>
      <c r="B44" s="62" t="s">
        <v>251</v>
      </c>
      <c r="C44" s="63" t="s">
        <v>256</v>
      </c>
      <c r="D44" s="63"/>
      <c r="E44" s="24" t="s">
        <v>257</v>
      </c>
      <c r="F44" s="67" t="s">
        <v>258</v>
      </c>
      <c r="G44" s="19"/>
      <c r="H44" s="19"/>
      <c r="I44" s="50"/>
      <c r="J44" s="50"/>
      <c r="K44" s="50"/>
      <c r="L44" s="50"/>
      <c r="M44" s="50"/>
      <c r="N44" s="50"/>
      <c r="O44" s="68" t="s">
        <v>259</v>
      </c>
      <c r="P44" s="50"/>
      <c r="Q44" s="49">
        <f>SUM(Q14:Q39)</f>
        <v>3841.4</v>
      </c>
      <c r="R44" s="49">
        <f>SUM(R14:R39)</f>
        <v>2014.1999999999998</v>
      </c>
      <c r="S44" s="49">
        <f>SUM(S14:S39)</f>
        <v>372</v>
      </c>
      <c r="T44" s="49">
        <f>SUM(T14:T39)</f>
        <v>3101.2799999999997</v>
      </c>
    </row>
    <row r="45" spans="1:16" ht="12">
      <c r="A45" s="19"/>
      <c r="B45" s="62"/>
      <c r="C45" s="26" t="s">
        <v>260</v>
      </c>
      <c r="D45" s="63" t="s">
        <v>261</v>
      </c>
      <c r="E45" s="24" t="s">
        <v>262</v>
      </c>
      <c r="F45" s="67" t="s">
        <v>263</v>
      </c>
      <c r="G45" s="19"/>
      <c r="H45" s="19"/>
      <c r="P45" s="60" t="s">
        <v>264</v>
      </c>
    </row>
    <row r="46" spans="1:8" ht="12">
      <c r="A46" s="26" t="s">
        <v>265</v>
      </c>
      <c r="B46" s="62" t="s">
        <v>265</v>
      </c>
      <c r="C46" s="63"/>
      <c r="D46" s="63" t="s">
        <v>266</v>
      </c>
      <c r="E46" s="24" t="s">
        <v>267</v>
      </c>
      <c r="F46" s="24" t="s">
        <v>267</v>
      </c>
      <c r="G46" s="26" t="s">
        <v>77</v>
      </c>
      <c r="H46" s="19"/>
    </row>
    <row r="47" spans="1:8" ht="12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">
      <c r="A48" s="19">
        <v>1.5</v>
      </c>
      <c r="B48" s="27">
        <f>IF(($E$19/(1-($E$22+$E$25+$G$32)/100))/($E$32*$A48*$E$28*(1-($E$30/100)))&lt;2*$E$15,"Don't Use",($E$19/(1-($E$22+$E$25+$G$32)/100))/($E$32*$A48*$E$28*(1-($E$30/100))))</f>
        <v>100.39418220425317</v>
      </c>
      <c r="C48" s="17">
        <f aca="true" t="shared" si="0" ref="C48:C59">IF(B48="Don't Use","Don't Use",ROUND(((+$E$32)*$E$34/$E$36+0.4),0))</f>
        <v>4</v>
      </c>
      <c r="D48" s="28">
        <f aca="true" t="shared" si="1" ref="D48:D59">IF(B48="Don't Use","Don't Use",((($E$19*$E$34/(1-($E$22+$E$25+$G$32)/100))/($E$28*(1-($E$30/100)))-(1.365*($A48^2)*$B48*$C48))/$C48)/($B48*$A48)+2.73*$A48)</f>
        <v>47.6725</v>
      </c>
      <c r="E48" s="18">
        <f aca="true" t="shared" si="2" ref="E48:E59">IF(B48="Don't Use","Don't Use",($E$19/(1-($E$22+$E$25+$G$32)/100)*($E$34/1000)*(1+0.0225*($B48/$I$53-1))))</f>
        <v>6131.291919731451</v>
      </c>
      <c r="F48" s="18">
        <f>IF(B48="Don't Use","Don't Use",+$E48*($E$22+$E$25+$G$32+2.25*($B48*3.28/$I$53-1))/100)</f>
        <v>1179.3052378250172</v>
      </c>
      <c r="G48" s="18">
        <f aca="true" t="shared" si="3" ref="G48:G59">IF(B48="Don't Use","Don't Use",($F48/$E48)*100)</f>
        <v>19.23420468743022</v>
      </c>
      <c r="H48" s="19"/>
    </row>
    <row r="49" spans="1:8" ht="12">
      <c r="A49" s="19">
        <v>2</v>
      </c>
      <c r="B49" s="27">
        <f aca="true" t="shared" si="4" ref="B49:B59">IF(($E$19/(1-($E$22+$E$25+$G$32)/100))/($E$32*$A49*$E$28*(1-($E$30/100)))&lt;2*$E$15,"Don't Use",($E$19/(1-($E$22+$E$25+$G$32)/100))/($E$32*$A49*$E$28*(1-($E$30/100))))</f>
        <v>75.29563665318987</v>
      </c>
      <c r="C49" s="17">
        <f t="shared" si="0"/>
        <v>4</v>
      </c>
      <c r="D49" s="28">
        <f t="shared" si="1"/>
        <v>48.355</v>
      </c>
      <c r="E49" s="18">
        <f t="shared" si="2"/>
        <v>6105.233937114697</v>
      </c>
      <c r="F49" s="18">
        <f aca="true" t="shared" si="5" ref="F49:F59">IF(B49="Don't Use","Don't Use",+$E49*($E$22+$E$25+$G$32+2.25*($B49*3.28/$I$53-1))/100)</f>
        <v>1089.6624410022782</v>
      </c>
      <c r="G49" s="18">
        <f t="shared" si="3"/>
        <v>17.848004715725065</v>
      </c>
      <c r="H49" s="19"/>
    </row>
    <row r="50" spans="1:8" ht="12">
      <c r="A50" s="19">
        <v>2.5</v>
      </c>
      <c r="B50" s="27">
        <f t="shared" si="4"/>
        <v>60.236509322551896</v>
      </c>
      <c r="C50" s="17">
        <f t="shared" si="0"/>
        <v>4</v>
      </c>
      <c r="D50" s="28">
        <f t="shared" si="1"/>
        <v>49.0375</v>
      </c>
      <c r="E50" s="18">
        <f t="shared" si="2"/>
        <v>6089.599147544644</v>
      </c>
      <c r="F50" s="18">
        <f t="shared" si="5"/>
        <v>1036.2235300263887</v>
      </c>
      <c r="G50" s="18">
        <f t="shared" si="3"/>
        <v>17.016284732701973</v>
      </c>
      <c r="H50" s="19"/>
    </row>
    <row r="51" spans="1:8" ht="12">
      <c r="A51" s="29">
        <v>3</v>
      </c>
      <c r="B51" s="27">
        <f t="shared" si="4"/>
        <v>50.197091102126585</v>
      </c>
      <c r="C51" s="30">
        <f t="shared" si="0"/>
        <v>4</v>
      </c>
      <c r="D51" s="31">
        <f t="shared" si="1"/>
        <v>49.72</v>
      </c>
      <c r="E51" s="32">
        <f t="shared" si="2"/>
        <v>6079.175954497943</v>
      </c>
      <c r="F51" s="32">
        <f t="shared" si="5"/>
        <v>1000.7420756748601</v>
      </c>
      <c r="G51" s="32">
        <f t="shared" si="3"/>
        <v>16.46180474401991</v>
      </c>
      <c r="H51" s="29"/>
    </row>
    <row r="52" spans="1:8" ht="12">
      <c r="A52" s="19">
        <v>3.5</v>
      </c>
      <c r="B52" s="27">
        <f t="shared" si="4"/>
        <v>43.02607808753707</v>
      </c>
      <c r="C52" s="17">
        <f t="shared" si="0"/>
        <v>4</v>
      </c>
      <c r="D52" s="28">
        <f t="shared" si="1"/>
        <v>50.402499999999996</v>
      </c>
      <c r="E52" s="18">
        <f t="shared" si="2"/>
        <v>6071.730816607442</v>
      </c>
      <c r="F52" s="18">
        <f t="shared" si="5"/>
        <v>975.4689485090239</v>
      </c>
      <c r="G52" s="18">
        <f t="shared" si="3"/>
        <v>16.06574760924701</v>
      </c>
      <c r="H52" s="19"/>
    </row>
    <row r="53" spans="1:9" ht="12">
      <c r="A53" s="33">
        <v>3.66</v>
      </c>
      <c r="B53" s="27">
        <f t="shared" si="4"/>
        <v>41.14515664108736</v>
      </c>
      <c r="C53" s="34">
        <f t="shared" si="0"/>
        <v>4</v>
      </c>
      <c r="D53" s="35">
        <f t="shared" si="1"/>
        <v>50.6209</v>
      </c>
      <c r="E53" s="36">
        <f t="shared" si="2"/>
        <v>6069.777993554196</v>
      </c>
      <c r="F53" s="36">
        <f t="shared" si="5"/>
        <v>968.8496945100745</v>
      </c>
      <c r="G53" s="36">
        <f t="shared" si="3"/>
        <v>15.961863770618054</v>
      </c>
      <c r="H53" s="36" t="s">
        <v>78</v>
      </c>
      <c r="I53" s="37">
        <f>(($E$19*2.205)*12/(1-($E$22+$E$25)/100))/(($E$32*39.37)*12*($E$28/16.02)*(1-($E$30/100)))</f>
        <v>133.622327187758</v>
      </c>
    </row>
    <row r="54" spans="1:8" ht="12">
      <c r="A54" s="19">
        <v>4</v>
      </c>
      <c r="B54" s="27">
        <f t="shared" si="4"/>
        <v>37.64781832659494</v>
      </c>
      <c r="C54" s="17">
        <f t="shared" si="0"/>
        <v>4</v>
      </c>
      <c r="D54" s="28">
        <f t="shared" si="1"/>
        <v>51.085</v>
      </c>
      <c r="E54" s="18">
        <f t="shared" si="2"/>
        <v>6066.146963189566</v>
      </c>
      <c r="F54" s="18">
        <f t="shared" si="5"/>
        <v>956.5528048218963</v>
      </c>
      <c r="G54" s="18">
        <f t="shared" si="3"/>
        <v>15.768704758167335</v>
      </c>
      <c r="H54" s="17"/>
    </row>
    <row r="55" spans="1:8" ht="12">
      <c r="A55" s="19">
        <v>4.5</v>
      </c>
      <c r="B55" s="27">
        <f t="shared" si="4"/>
        <v>33.46472740141772</v>
      </c>
      <c r="C55" s="17">
        <f t="shared" si="0"/>
        <v>4</v>
      </c>
      <c r="D55" s="28">
        <f t="shared" si="1"/>
        <v>51.7675</v>
      </c>
      <c r="E55" s="18">
        <f t="shared" si="2"/>
        <v>6061.8039660867735</v>
      </c>
      <c r="F55" s="18">
        <f t="shared" si="5"/>
        <v>941.8631829539815</v>
      </c>
      <c r="G55" s="18">
        <f t="shared" si="3"/>
        <v>15.537671429549803</v>
      </c>
      <c r="H55" s="17"/>
    </row>
    <row r="56" spans="1:8" ht="12">
      <c r="A56" s="19">
        <v>5</v>
      </c>
      <c r="B56" s="27">
        <f t="shared" si="4"/>
        <v>30.118254661275948</v>
      </c>
      <c r="C56" s="17">
        <f t="shared" si="0"/>
        <v>4</v>
      </c>
      <c r="D56" s="28">
        <f t="shared" si="1"/>
        <v>52.449999999999996</v>
      </c>
      <c r="E56" s="18">
        <f t="shared" si="2"/>
        <v>6058.32956840454</v>
      </c>
      <c r="F56" s="18">
        <f t="shared" si="5"/>
        <v>930.1259340895565</v>
      </c>
      <c r="G56" s="18">
        <f t="shared" si="3"/>
        <v>15.352844766655787</v>
      </c>
      <c r="H56" s="17"/>
    </row>
    <row r="57" spans="1:8" ht="12">
      <c r="A57" s="19">
        <v>5.5</v>
      </c>
      <c r="B57" s="27">
        <f t="shared" si="4"/>
        <v>27.380231510250862</v>
      </c>
      <c r="C57" s="17">
        <f t="shared" si="0"/>
        <v>4</v>
      </c>
      <c r="D57" s="28">
        <f t="shared" si="1"/>
        <v>53.1325</v>
      </c>
      <c r="E57" s="18">
        <f t="shared" si="2"/>
        <v>6055.486879391803</v>
      </c>
      <c r="F57" s="18">
        <f t="shared" si="5"/>
        <v>920.5322832863699</v>
      </c>
      <c r="G57" s="18">
        <f t="shared" si="3"/>
        <v>15.201622951560678</v>
      </c>
      <c r="H57" s="17"/>
    </row>
    <row r="58" spans="1:8" ht="12">
      <c r="A58" s="19">
        <v>6</v>
      </c>
      <c r="B58" s="27">
        <f t="shared" si="4"/>
        <v>25.098545551063292</v>
      </c>
      <c r="C58" s="17">
        <f t="shared" si="0"/>
        <v>4</v>
      </c>
      <c r="D58" s="28">
        <f t="shared" si="1"/>
        <v>53.815</v>
      </c>
      <c r="E58" s="18">
        <f t="shared" si="2"/>
        <v>6053.117971881189</v>
      </c>
      <c r="F58" s="18">
        <f t="shared" si="5"/>
        <v>912.5441418427628</v>
      </c>
      <c r="G58" s="18">
        <f t="shared" si="3"/>
        <v>15.075604772314758</v>
      </c>
      <c r="H58" s="17"/>
    </row>
    <row r="59" spans="1:8" ht="12">
      <c r="A59" s="19">
        <v>6.5</v>
      </c>
      <c r="B59" s="27">
        <f t="shared" si="4"/>
        <v>23.1678882009815</v>
      </c>
      <c r="C59" s="17">
        <f t="shared" si="0"/>
        <v>4</v>
      </c>
      <c r="D59" s="28">
        <f t="shared" si="1"/>
        <v>54.4975</v>
      </c>
      <c r="E59" s="18">
        <f t="shared" si="2"/>
        <v>6051.1135116799</v>
      </c>
      <c r="F59" s="18">
        <f t="shared" si="5"/>
        <v>905.7896085921707</v>
      </c>
      <c r="G59" s="18">
        <f t="shared" si="3"/>
        <v>14.968974005260513</v>
      </c>
      <c r="H59" s="19"/>
    </row>
    <row r="60" spans="1:8" ht="12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">
      <c r="A61" s="69" t="s">
        <v>268</v>
      </c>
      <c r="B61" s="1"/>
      <c r="C61" s="2"/>
      <c r="D61" s="2"/>
      <c r="E61" s="3"/>
      <c r="F61" s="3"/>
    </row>
    <row r="62" spans="1:6" ht="12">
      <c r="A62" s="69" t="s">
        <v>269</v>
      </c>
      <c r="B62" s="1"/>
      <c r="C62" s="2"/>
      <c r="D62" s="2"/>
      <c r="E62" s="3"/>
      <c r="F62" s="3"/>
    </row>
    <row r="63" spans="2:6" ht="12">
      <c r="B63" s="1"/>
      <c r="C63" s="2"/>
      <c r="D63" s="2"/>
      <c r="E63" s="3"/>
      <c r="F63" s="3"/>
    </row>
    <row r="64" spans="2:6" ht="12"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Holmes</dc:creator>
  <cp:keywords/>
  <dc:description/>
  <cp:lastModifiedBy>mark</cp:lastModifiedBy>
  <cp:lastPrinted>2009-08-20T19:57:41Z</cp:lastPrinted>
  <dcterms:created xsi:type="dcterms:W3CDTF">2009-08-15T12:00:54Z</dcterms:created>
  <dcterms:modified xsi:type="dcterms:W3CDTF">2012-11-13T00:33:47Z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