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060" activeTab="0"/>
  </bookViews>
  <sheets>
    <sheet name="Feedval4" sheetId="1" r:id="rId1"/>
  </sheets>
  <definedNames>
    <definedName name="\h">'Feedval4'!$AA$22</definedName>
    <definedName name="\p">'Feedval4'!$AA$32</definedName>
    <definedName name="\r">'Feedval4'!$AA$34</definedName>
    <definedName name="\s">'Feedval4'!$AA$30</definedName>
    <definedName name="\t">'Feedval4'!$AA$26</definedName>
    <definedName name="\u">'Feedval4'!$AA$28</definedName>
    <definedName name="\v">'Feedval4'!$AA$24</definedName>
    <definedName name="_Regression_Int" localSheetId="0" hidden="1">1</definedName>
    <definedName name="BLOOD">'Feedval4'!$B$50:$M$50</definedName>
    <definedName name="CACOST">'Feedval4'!$E$29</definedName>
    <definedName name="CANOLA">'Feedval4'!$B$53:$M$53</definedName>
    <definedName name="CORN">'Feedval4'!$G$10</definedName>
    <definedName name="CORN3">'Feedval4'!$T$48</definedName>
    <definedName name="CORN4">'Feedval4'!$T$50</definedName>
    <definedName name="CORNCA">'Feedval4'!$K$23</definedName>
    <definedName name="CORNCP">'Feedval4'!$E$23</definedName>
    <definedName name="CORNDM">'Feedval4'!$D$23</definedName>
    <definedName name="CORNDMCOST">'Feedval4'!$U$37</definedName>
    <definedName name="CORNP">'Feedval4'!$L$23</definedName>
    <definedName name="CORNTDN">'Feedval4'!$I$23</definedName>
    <definedName name="CORNUIP">'Feedval4'!$G$23</definedName>
    <definedName name="CP">'Feedval4'!$T$54</definedName>
    <definedName name="CPADJ">'Feedval4'!$D$25</definedName>
    <definedName name="CPCOST">'Feedval4'!$U$66</definedName>
    <definedName name="DCA">'Feedval4'!$K$21</definedName>
    <definedName name="DCCOST">'Feedval4'!$E$13</definedName>
    <definedName name="DCDM">'Feedval4'!$D$21</definedName>
    <definedName name="DCP">'Feedval4'!$L$21</definedName>
    <definedName name="DIPCOST">'Feedval4'!$V$27</definedName>
    <definedName name="DISTILLERS">'Feedval4'!$B$75:$M$75</definedName>
    <definedName name="DRYBREWERS">'Feedval4'!$B$51:$M$51</definedName>
    <definedName name="FEATHER">'Feedval4'!$B$78:$M$78</definedName>
    <definedName name="FEATHERMIX">'Feedval4'!$B$88:$M$88</definedName>
    <definedName name="FISH">'Feedval4'!$B$79:$M$79</definedName>
    <definedName name="GDM">'Feedval4'!$E$45:$E$104</definedName>
    <definedName name="GLUTENFEED">'Feedval4'!$B$68:$M$68</definedName>
    <definedName name="GLUTENMEAL">'Feedval4'!$B$71:$M$71</definedName>
    <definedName name="GRAINLOSS">'Feedval4'!$P$38:$R$38</definedName>
    <definedName name="HEATEDBEANS">'Feedval4'!$B$90:$M$90</definedName>
    <definedName name="IPROP1">'Feedval4'!$T$47</definedName>
    <definedName name="LCA">'Feedval4'!$K$20</definedName>
    <definedName name="LCOST">'Feedval4'!$E$12</definedName>
    <definedName name="LIMEDM">'Feedval4'!$D$20</definedName>
    <definedName name="LINSEED">'Feedval4'!$B$82:$M$82</definedName>
    <definedName name="MEAT">'Feedval4'!$B$84:$M$84</definedName>
    <definedName name="MEATANDBONE">'Feedval4'!$B$85:$M$85</definedName>
    <definedName name="PCOST">'Feedval4'!$E$30</definedName>
    <definedName name="RAWBEANS">'Feedval4'!$B$91:$M$91</definedName>
    <definedName name="SC2">'Feedval4'!$U$46</definedName>
    <definedName name="SHCORN">'Feedval4'!$B$54:$M$54</definedName>
    <definedName name="SOY">'Feedval4'!$G$8</definedName>
    <definedName name="SOY2">'Feedval4'!$U$45</definedName>
    <definedName name="SOY3">'Feedval4'!$T$47</definedName>
    <definedName name="SOY4">'Feedval4'!$T$49</definedName>
    <definedName name="SOY44">'Feedval4'!$B$93:$M$93</definedName>
    <definedName name="SOY48">'Feedval4'!$B$94:$M$94</definedName>
    <definedName name="SOYCA">'Feedval4'!$K$25</definedName>
    <definedName name="SOYCP">'Feedval4'!$E$25</definedName>
    <definedName name="SOYDM">'Feedval4'!$D$25</definedName>
    <definedName name="SOYDMCOST">'Feedval4'!$U$36</definedName>
    <definedName name="SOYP">'Feedval4'!$L$25</definedName>
    <definedName name="SOYTDN">'Feedval4'!$I$25</definedName>
    <definedName name="SOYUIP">'Feedval4'!$G$25</definedName>
    <definedName name="SPROUTS">'Feedval4'!$B$83:$M$83</definedName>
    <definedName name="SUN28">'Feedval4'!$B$95:$M$95</definedName>
    <definedName name="SUN40">'Feedval4'!$B$96:$M$96</definedName>
    <definedName name="TDN">'Feedval4'!$T$55</definedName>
    <definedName name="TDNCOST">'Feedval4'!$U$67</definedName>
    <definedName name="UREA">'Feedval4'!$B$97:$M$97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<sst xmlns="http://schemas.openxmlformats.org/spreadsheetml/2006/main" count="550" uniqueCount="150">
  <si>
    <t>FEEDVAL4:  Feed Comparative Values Calculated from Protein (UIP), TDN, Fat, Calcium and Phosphorus</t>
  </si>
  <si>
    <t>By:  W.T. Howard and Randy D. Shaver</t>
  </si>
  <si>
    <t>Department of Dairy Science, University of Wisconsin-Madison</t>
  </si>
  <si>
    <t>Version 1.4, April 1997</t>
  </si>
  <si>
    <t>Date:</t>
  </si>
  <si>
    <t>|~</t>
  </si>
  <si>
    <t>~</t>
  </si>
  <si>
    <t>|</t>
  </si>
  <si>
    <t>Referee Feeds - Prices, As Fed Basis</t>
  </si>
  <si>
    <t>Blood Meal</t>
  </si>
  <si>
    <t xml:space="preserve"> $/ton</t>
  </si>
  <si>
    <t>$/cwt</t>
  </si>
  <si>
    <t>Urea, 46% N</t>
  </si>
  <si>
    <t xml:space="preserve">Corn,#2 Sh. 15% Moist. </t>
  </si>
  <si>
    <t>$/bu</t>
  </si>
  <si>
    <t>Tallow</t>
  </si>
  <si>
    <t xml:space="preserve"> $/cwt</t>
  </si>
  <si>
    <t>Feed Limestone/CaCO3</t>
  </si>
  <si>
    <t xml:space="preserve">Dicalcium Phosphate </t>
  </si>
  <si>
    <t>|_</t>
  </si>
  <si>
    <t>_</t>
  </si>
  <si>
    <t>Composition, %  Dry Matter Basis</t>
  </si>
  <si>
    <t xml:space="preserve"> Referee  Feeds</t>
  </si>
  <si>
    <t>D.M.</t>
  </si>
  <si>
    <t>C.P.</t>
  </si>
  <si>
    <t>UIP</t>
  </si>
  <si>
    <t>Net UIP</t>
  </si>
  <si>
    <t xml:space="preserve"> DIP %</t>
  </si>
  <si>
    <t>TDN</t>
  </si>
  <si>
    <t>Fat</t>
  </si>
  <si>
    <t>Ca</t>
  </si>
  <si>
    <t xml:space="preserve"> Phos</t>
  </si>
  <si>
    <t>%</t>
  </si>
  <si>
    <t>% of CP</t>
  </si>
  <si>
    <t>of C.P.</t>
  </si>
  <si>
    <t xml:space="preserve"> --</t>
  </si>
  <si>
    <t>Macros</t>
  </si>
  <si>
    <t>\H</t>
  </si>
  <si>
    <t>/WWH</t>
  </si>
  <si>
    <t>\V</t>
  </si>
  <si>
    <t>/WWV</t>
  </si>
  <si>
    <t>Value of DIP</t>
  </si>
  <si>
    <t>\T</t>
  </si>
  <si>
    <t>/WWC</t>
  </si>
  <si>
    <t>Calculated Value of Nutrients</t>
  </si>
  <si>
    <t>\U</t>
  </si>
  <si>
    <t>/WWU</t>
  </si>
  <si>
    <t xml:space="preserve">  Value of Calcium</t>
  </si>
  <si>
    <t xml:space="preserve"> ----&gt;</t>
  </si>
  <si>
    <t xml:space="preserve"> $/lb</t>
  </si>
  <si>
    <t xml:space="preserve"> Value of Fat</t>
  </si>
  <si>
    <t xml:space="preserve">  Value of Phosphorus</t>
  </si>
  <si>
    <t xml:space="preserve"> Value of TDN</t>
  </si>
  <si>
    <t xml:space="preserve">Calculation of Value of </t>
  </si>
  <si>
    <t>\S</t>
  </si>
  <si>
    <t>/WWS</t>
  </si>
  <si>
    <t xml:space="preserve">  Value of UIP</t>
  </si>
  <si>
    <t xml:space="preserve"> Value of DIP</t>
  </si>
  <si>
    <t>Value of LB CP &amp; TDN</t>
  </si>
  <si>
    <t>Dry Matter</t>
  </si>
  <si>
    <t>\P</t>
  </si>
  <si>
    <t>{HOME}/PPAGPQ</t>
  </si>
  <si>
    <t>Cost/CWT</t>
  </si>
  <si>
    <t>FEEDVAL4:  Feed Comparative Values Calculated from Protein (UIP), TDN, Calcium and Phosphorus</t>
  </si>
  <si>
    <t>Sort feeds on Return</t>
  </si>
  <si>
    <t>\R</t>
  </si>
  <si>
    <t>/DS~RESULTS~G</t>
  </si>
  <si>
    <t>Net %</t>
  </si>
  <si>
    <t>UIP %</t>
  </si>
  <si>
    <t xml:space="preserve">  Calc. Value</t>
  </si>
  <si>
    <t xml:space="preserve"> $Value/Ton, As Fed</t>
  </si>
  <si>
    <t>CP Supplement</t>
  </si>
  <si>
    <t>Value of</t>
  </si>
  <si>
    <t xml:space="preserve">  Grain-Concentrates:</t>
  </si>
  <si>
    <t xml:space="preserve"> D.M.</t>
  </si>
  <si>
    <t>of CP</t>
  </si>
  <si>
    <t>Phos</t>
  </si>
  <si>
    <t xml:space="preserve">$/cwt </t>
  </si>
  <si>
    <t xml:space="preserve">  Feeding Losses, %</t>
  </si>
  <si>
    <t>Corn</t>
  </si>
  <si>
    <t>Protein Supplement</t>
  </si>
  <si>
    <t>Composition as % of Dry Matter</t>
  </si>
  <si>
    <t>As Fed</t>
  </si>
  <si>
    <t>And Corn</t>
  </si>
  <si>
    <t>|--</t>
  </si>
  <si>
    <t>-</t>
  </si>
  <si>
    <t>-----|</t>
  </si>
  <si>
    <t>--------|</t>
  </si>
  <si>
    <t>------|</t>
  </si>
  <si>
    <t>-------|</t>
  </si>
  <si>
    <t>-------</t>
  </si>
  <si>
    <t>Alfalfa Hay, Ex RFV 150</t>
  </si>
  <si>
    <t>Alfalfa Hay, VG RFV 135</t>
  </si>
  <si>
    <t>Alfalfa Hay, Fair RFV 110</t>
  </si>
  <si>
    <t>Corn Silage, VG</t>
  </si>
  <si>
    <t>Corn Silage, Fair</t>
  </si>
  <si>
    <t>Alfalfa, 20% CP Dehy</t>
  </si>
  <si>
    <t>Alfalfa, 17% CP Dehy</t>
  </si>
  <si>
    <t>Barley</t>
  </si>
  <si>
    <t>Beans, Navy</t>
  </si>
  <si>
    <t>Beet Pulp</t>
  </si>
  <si>
    <t xml:space="preserve">Brewers Grains, Dried </t>
  </si>
  <si>
    <t xml:space="preserve">Brewers Grains, Wet </t>
  </si>
  <si>
    <t>Canola Meal, 36% C.P.</t>
  </si>
  <si>
    <t>Corn,Shelled  15% Moist.</t>
  </si>
  <si>
    <t>Corn, HM Shelled, % Moist.</t>
  </si>
  <si>
    <t>|::</t>
  </si>
  <si>
    <t>$ Value/Ton, As Fed</t>
  </si>
  <si>
    <t xml:space="preserve"> of CP</t>
  </si>
  <si>
    <t xml:space="preserve">          % of Dry Matter</t>
  </si>
  <si>
    <t>Corn Screenings (Variable)</t>
  </si>
  <si>
    <t>Corn Cobs, Ground</t>
  </si>
  <si>
    <t>Ear Corn, 15% Moisture</t>
  </si>
  <si>
    <t xml:space="preserve">Ear Corn, High  Moisture </t>
  </si>
  <si>
    <t xml:space="preserve">Corn Gluten Feed, Dried </t>
  </si>
  <si>
    <t>Corn Gluten Feed, Wet</t>
  </si>
  <si>
    <t>Corn Guten Meal, 40% CP</t>
  </si>
  <si>
    <t>Corn Gluten Meal, 60% CP</t>
  </si>
  <si>
    <t>Cottonseed, Whole, w/Lint</t>
  </si>
  <si>
    <t>Cottonseed,Whole, wo/Lint</t>
  </si>
  <si>
    <t>Cottonseed Meal 41% C.P.</t>
  </si>
  <si>
    <t>Dist. Grains, 25-8</t>
  </si>
  <si>
    <t>Dist. Grains, 30-8</t>
  </si>
  <si>
    <t>Feather Meal, Hydrolized</t>
  </si>
  <si>
    <t>Fish Meal, 60% C.P.</t>
  </si>
  <si>
    <t>Grain Screenings (Variable)</t>
  </si>
  <si>
    <t>Hominy Feed</t>
  </si>
  <si>
    <t>Linseed Meal, 34% C.P. Sol.</t>
  </si>
  <si>
    <t>Malt Sprouts</t>
  </si>
  <si>
    <t>Meat Meal</t>
  </si>
  <si>
    <t>Meat &amp; Bone Meal, 50% C.P.</t>
  </si>
  <si>
    <t xml:space="preserve">Molasses,Cane </t>
  </si>
  <si>
    <t>Oats, 32-36 Lb/Bu</t>
  </si>
  <si>
    <t>Soy Screenings</t>
  </si>
  <si>
    <t>Soy Hulls</t>
  </si>
  <si>
    <t>Soybeans, Heat Treated</t>
  </si>
  <si>
    <t>Soybeans, Raw</t>
  </si>
  <si>
    <t>Soybean Meal, 44% CP Solv</t>
  </si>
  <si>
    <t>Soy Meal (Exp),44% CP</t>
  </si>
  <si>
    <t>Soybean Meal, 48% C.P.</t>
  </si>
  <si>
    <t>Sunflower Meal 28% C.P.</t>
  </si>
  <si>
    <t>Sunflower Meal 40% C.P.</t>
  </si>
  <si>
    <t>Urea, 46% Nitrogen</t>
  </si>
  <si>
    <t>Wheat, Grain</t>
  </si>
  <si>
    <t>Wheat Bran</t>
  </si>
  <si>
    <t xml:space="preserve">Wheat Middlings </t>
  </si>
  <si>
    <t>Dairy Way 21%</t>
  </si>
  <si>
    <t>Flaxseed</t>
  </si>
  <si>
    <t>Whey Permeate</t>
  </si>
  <si>
    <t>Corn Syrup dis sol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</si>
</sst>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0.00_)"/>
    <numFmt numFmtId="167" formatCode="&quot;$&quot;#,##0.000_);\(&quot;$&quot;#,##0.000\)"/>
    <numFmt numFmtId="168" formatCode="0.0000_)"/>
    <numFmt numFmtId="169" formatCode="0.000_)"/>
    <numFmt numFmtId="170" formatCode="0.000000_)"/>
    <numFmt numFmtId="171" formatCode="0.00000_)"/>
  </numFmts>
  <fonts count="39">
    <font>
      <sz val="10"/>
      <name val="Courier"/>
      <family val="0"/>
    </font>
    <font>
      <sz val="12"/>
      <name val="CG Times"/>
      <family val="0"/>
    </font>
    <font>
      <sz val="10"/>
      <color indexed="12"/>
      <name val="Courier"/>
      <family val="0"/>
    </font>
    <font>
      <b/>
      <sz val="10"/>
      <name val="Courier"/>
      <family val="3"/>
    </font>
    <font>
      <b/>
      <sz val="10"/>
      <color indexed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fill"/>
      <protection/>
    </xf>
    <xf numFmtId="165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7" fontId="2" fillId="0" borderId="0" xfId="0" applyNumberFormat="1" applyFont="1" applyAlignment="1" applyProtection="1">
      <alignment/>
      <protection locked="0"/>
    </xf>
    <xf numFmtId="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5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71" fontId="2" fillId="0" borderId="0" xfId="0" applyNumberFormat="1" applyFont="1" applyAlignment="1" applyProtection="1">
      <alignment/>
      <protection locked="0"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110"/>
  <sheetViews>
    <sheetView showGridLines="0" tabSelected="1" zoomScaleSheetLayoutView="100" zoomScalePageLayoutView="0" workbookViewId="0" topLeftCell="B1">
      <selection activeCell="E13" sqref="E13"/>
    </sheetView>
  </sheetViews>
  <sheetFormatPr defaultColWidth="11.625" defaultRowHeight="12.75"/>
  <cols>
    <col min="1" max="1" width="2.625" style="0" customWidth="1"/>
    <col min="2" max="2" width="11.625" style="0" customWidth="1"/>
    <col min="3" max="3" width="10.625" style="0" customWidth="1"/>
    <col min="4" max="4" width="6.625" style="0" customWidth="1"/>
    <col min="5" max="5" width="9.625" style="0" customWidth="1"/>
    <col min="6" max="7" width="7.625" style="0" customWidth="1"/>
    <col min="8" max="9" width="6.625" style="0" customWidth="1"/>
    <col min="10" max="12" width="7.625" style="0" customWidth="1"/>
    <col min="13" max="13" width="6.625" style="0" customWidth="1"/>
    <col min="14" max="15" width="8.625" style="0" customWidth="1"/>
    <col min="16" max="17" width="7.625" style="0" customWidth="1"/>
    <col min="18" max="18" width="7.375" style="0" customWidth="1"/>
    <col min="19" max="19" width="9.50390625" style="0" hidden="1" customWidth="1"/>
    <col min="20" max="20" width="14.625" style="0" customWidth="1"/>
  </cols>
  <sheetData>
    <row r="1" spans="2:14" ht="12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6" ht="12">
      <c r="A2" s="30"/>
      <c r="B2" s="31"/>
      <c r="D2" s="30"/>
      <c r="E2" s="30"/>
      <c r="F2" s="32" t="s">
        <v>1</v>
      </c>
    </row>
    <row r="3" spans="3:6" ht="12">
      <c r="C3" s="30"/>
      <c r="D3" s="30"/>
      <c r="E3" s="30"/>
      <c r="F3" s="32" t="s">
        <v>2</v>
      </c>
    </row>
    <row r="4" spans="1:15" ht="12.75" thickBot="1">
      <c r="A4" s="33"/>
      <c r="B4" s="34"/>
      <c r="C4" s="33"/>
      <c r="D4" s="35"/>
      <c r="E4" s="33"/>
      <c r="F4" s="36" t="s">
        <v>3</v>
      </c>
      <c r="G4" s="33"/>
      <c r="H4" s="33"/>
      <c r="I4" s="33"/>
      <c r="J4" s="33"/>
      <c r="K4" s="33"/>
      <c r="L4" s="33"/>
      <c r="M4" s="33"/>
      <c r="N4" s="33"/>
      <c r="O4" s="33"/>
    </row>
    <row r="5" spans="2:3" ht="24" customHeight="1" thickTop="1">
      <c r="B5" s="4" t="s">
        <v>4</v>
      </c>
      <c r="C5" s="5">
        <f ca="1">NOW()</f>
        <v>40548.41854583333</v>
      </c>
    </row>
    <row r="6" spans="1:10" ht="12">
      <c r="A6" s="6" t="s">
        <v>5</v>
      </c>
      <c r="B6" s="7" t="s">
        <v>6</v>
      </c>
      <c r="C6" s="7" t="s">
        <v>6</v>
      </c>
      <c r="D6" s="7" t="s">
        <v>6</v>
      </c>
      <c r="E6" s="7" t="s">
        <v>6</v>
      </c>
      <c r="F6" s="7" t="s">
        <v>6</v>
      </c>
      <c r="G6" s="7" t="s">
        <v>6</v>
      </c>
      <c r="H6" s="7" t="s">
        <v>6</v>
      </c>
      <c r="I6" s="7" t="s">
        <v>6</v>
      </c>
      <c r="J6" s="6" t="s">
        <v>7</v>
      </c>
    </row>
    <row r="7" spans="1:10" ht="12">
      <c r="A7" s="6" t="s">
        <v>7</v>
      </c>
      <c r="B7" s="1" t="s">
        <v>8</v>
      </c>
      <c r="D7" s="2"/>
      <c r="E7" s="8"/>
      <c r="F7" s="2"/>
      <c r="G7" s="9"/>
      <c r="I7" s="2"/>
      <c r="J7" s="6" t="s">
        <v>7</v>
      </c>
    </row>
    <row r="8" spans="1:10" ht="12">
      <c r="A8" s="6" t="s">
        <v>7</v>
      </c>
      <c r="B8" s="10" t="s">
        <v>9</v>
      </c>
      <c r="D8" s="2"/>
      <c r="E8" s="11">
        <v>840</v>
      </c>
      <c r="F8" s="3" t="s">
        <v>10</v>
      </c>
      <c r="G8" s="12">
        <f>E8/20</f>
        <v>42</v>
      </c>
      <c r="H8" s="3" t="s">
        <v>11</v>
      </c>
      <c r="J8" s="6" t="s">
        <v>7</v>
      </c>
    </row>
    <row r="9" spans="1:10" ht="12">
      <c r="A9" s="6" t="s">
        <v>7</v>
      </c>
      <c r="B9" s="10" t="s">
        <v>12</v>
      </c>
      <c r="D9" s="2"/>
      <c r="E9" s="11">
        <v>645</v>
      </c>
      <c r="F9" s="3" t="s">
        <v>10</v>
      </c>
      <c r="G9" s="12">
        <f>E9/20</f>
        <v>32.25</v>
      </c>
      <c r="H9" s="3" t="s">
        <v>11</v>
      </c>
      <c r="J9" s="6" t="s">
        <v>7</v>
      </c>
    </row>
    <row r="10" spans="1:10" ht="12">
      <c r="A10" s="6" t="s">
        <v>7</v>
      </c>
      <c r="B10" s="10" t="s">
        <v>13</v>
      </c>
      <c r="E10" s="11">
        <v>5.49</v>
      </c>
      <c r="F10" s="3" t="s">
        <v>14</v>
      </c>
      <c r="G10" s="12">
        <f>E10/0.56</f>
        <v>9.803571428571429</v>
      </c>
      <c r="H10" s="3" t="s">
        <v>11</v>
      </c>
      <c r="J10" s="6" t="s">
        <v>7</v>
      </c>
    </row>
    <row r="11" spans="1:10" ht="12">
      <c r="A11" s="6" t="s">
        <v>7</v>
      </c>
      <c r="B11" s="10" t="s">
        <v>15</v>
      </c>
      <c r="E11" s="11">
        <v>47</v>
      </c>
      <c r="F11" s="3" t="s">
        <v>16</v>
      </c>
      <c r="J11" s="6" t="s">
        <v>7</v>
      </c>
    </row>
    <row r="12" spans="1:10" ht="12">
      <c r="A12" s="6" t="s">
        <v>7</v>
      </c>
      <c r="B12" s="10" t="s">
        <v>17</v>
      </c>
      <c r="E12" s="11">
        <v>6</v>
      </c>
      <c r="F12" s="3" t="s">
        <v>16</v>
      </c>
      <c r="J12" s="6" t="s">
        <v>7</v>
      </c>
    </row>
    <row r="13" spans="1:10" ht="12">
      <c r="A13" s="6" t="s">
        <v>7</v>
      </c>
      <c r="B13" s="10" t="s">
        <v>18</v>
      </c>
      <c r="E13" s="11">
        <v>32</v>
      </c>
      <c r="F13" s="3" t="s">
        <v>16</v>
      </c>
      <c r="J13" s="6" t="s">
        <v>7</v>
      </c>
    </row>
    <row r="14" spans="1:11" ht="12">
      <c r="A14" s="6" t="s">
        <v>19</v>
      </c>
      <c r="B14" s="7" t="s">
        <v>20</v>
      </c>
      <c r="C14" s="7" t="s">
        <v>20</v>
      </c>
      <c r="D14" s="7" t="s">
        <v>20</v>
      </c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6" t="s">
        <v>7</v>
      </c>
      <c r="K14" s="13"/>
    </row>
    <row r="16" spans="1:13" ht="12">
      <c r="A16" s="6" t="s">
        <v>5</v>
      </c>
      <c r="B16" s="7" t="s">
        <v>6</v>
      </c>
      <c r="C16" s="7" t="s">
        <v>6</v>
      </c>
      <c r="D16" s="7" t="s">
        <v>6</v>
      </c>
      <c r="E16" s="7" t="s">
        <v>6</v>
      </c>
      <c r="F16" s="7" t="s">
        <v>6</v>
      </c>
      <c r="G16" s="7" t="s">
        <v>6</v>
      </c>
      <c r="H16" s="7" t="s">
        <v>6</v>
      </c>
      <c r="I16" s="7" t="s">
        <v>6</v>
      </c>
      <c r="J16" s="7" t="s">
        <v>6</v>
      </c>
      <c r="K16" s="7" t="s">
        <v>6</v>
      </c>
      <c r="L16" s="7" t="s">
        <v>6</v>
      </c>
      <c r="M16" s="6" t="s">
        <v>7</v>
      </c>
    </row>
    <row r="17" spans="1:13" ht="12">
      <c r="A17" s="6" t="s">
        <v>7</v>
      </c>
      <c r="E17" s="12"/>
      <c r="F17" s="12"/>
      <c r="G17" s="14" t="s">
        <v>21</v>
      </c>
      <c r="I17" s="12"/>
      <c r="J17" s="12"/>
      <c r="K17" s="12"/>
      <c r="M17" s="6" t="s">
        <v>7</v>
      </c>
    </row>
    <row r="18" spans="1:13" ht="12">
      <c r="A18" s="6" t="s">
        <v>7</v>
      </c>
      <c r="B18" s="1" t="s">
        <v>22</v>
      </c>
      <c r="D18" s="3" t="s">
        <v>23</v>
      </c>
      <c r="E18" s="3" t="s">
        <v>24</v>
      </c>
      <c r="F18" s="3" t="s">
        <v>25</v>
      </c>
      <c r="G18" s="14" t="s">
        <v>26</v>
      </c>
      <c r="H18" s="3" t="s">
        <v>27</v>
      </c>
      <c r="I18" s="3" t="s">
        <v>28</v>
      </c>
      <c r="J18" s="3" t="s">
        <v>29</v>
      </c>
      <c r="K18" s="14" t="s">
        <v>30</v>
      </c>
      <c r="L18" s="1" t="s">
        <v>31</v>
      </c>
      <c r="M18" s="6" t="s">
        <v>7</v>
      </c>
    </row>
    <row r="19" spans="1:33" ht="12">
      <c r="A19" s="6" t="s">
        <v>7</v>
      </c>
      <c r="D19" s="3" t="s">
        <v>32</v>
      </c>
      <c r="E19" s="3" t="s">
        <v>32</v>
      </c>
      <c r="F19" s="3" t="s">
        <v>33</v>
      </c>
      <c r="G19" s="3" t="s">
        <v>32</v>
      </c>
      <c r="H19" s="1" t="s">
        <v>34</v>
      </c>
      <c r="I19" s="3" t="s">
        <v>32</v>
      </c>
      <c r="J19" s="3" t="s">
        <v>32</v>
      </c>
      <c r="K19" s="3" t="s">
        <v>32</v>
      </c>
      <c r="L19" s="15" t="s">
        <v>32</v>
      </c>
      <c r="M19" s="6" t="s">
        <v>7</v>
      </c>
      <c r="AG19" s="16"/>
    </row>
    <row r="20" spans="1:33" ht="12">
      <c r="A20" s="6" t="s">
        <v>7</v>
      </c>
      <c r="B20" s="17" t="str">
        <f>B12</f>
        <v>Feed Limestone/CaCO3</v>
      </c>
      <c r="D20" s="8">
        <v>98</v>
      </c>
      <c r="E20" s="18" t="s">
        <v>35</v>
      </c>
      <c r="F20" s="18" t="s">
        <v>35</v>
      </c>
      <c r="G20" s="18" t="s">
        <v>35</v>
      </c>
      <c r="H20" s="18" t="s">
        <v>35</v>
      </c>
      <c r="I20" s="3" t="s">
        <v>35</v>
      </c>
      <c r="J20" s="3" t="s">
        <v>35</v>
      </c>
      <c r="K20" s="8">
        <v>36</v>
      </c>
      <c r="L20" s="18" t="s">
        <v>35</v>
      </c>
      <c r="M20" s="6" t="s">
        <v>7</v>
      </c>
      <c r="Z20" s="1" t="s">
        <v>36</v>
      </c>
      <c r="AG20" s="16"/>
    </row>
    <row r="21" spans="1:33" ht="12">
      <c r="A21" s="6" t="s">
        <v>7</v>
      </c>
      <c r="B21" s="17" t="str">
        <f>B13</f>
        <v>Dicalcium Phosphate </v>
      </c>
      <c r="D21" s="8">
        <v>98</v>
      </c>
      <c r="E21" s="18" t="s">
        <v>35</v>
      </c>
      <c r="F21" s="18" t="s">
        <v>35</v>
      </c>
      <c r="G21" s="18" t="s">
        <v>35</v>
      </c>
      <c r="H21" s="18" t="s">
        <v>35</v>
      </c>
      <c r="I21" s="18" t="s">
        <v>35</v>
      </c>
      <c r="J21" s="18" t="s">
        <v>35</v>
      </c>
      <c r="K21" s="8">
        <v>18</v>
      </c>
      <c r="L21" s="8">
        <v>21</v>
      </c>
      <c r="M21" s="6" t="s">
        <v>7</v>
      </c>
      <c r="AG21" s="16"/>
    </row>
    <row r="22" spans="1:33" ht="12">
      <c r="A22" s="6" t="s">
        <v>7</v>
      </c>
      <c r="B22" s="17" t="str">
        <f>B11</f>
        <v>Tallow</v>
      </c>
      <c r="D22" s="8">
        <v>99</v>
      </c>
      <c r="E22" s="18" t="s">
        <v>35</v>
      </c>
      <c r="F22" s="18" t="s">
        <v>35</v>
      </c>
      <c r="G22" s="18" t="s">
        <v>35</v>
      </c>
      <c r="H22" s="18" t="s">
        <v>35</v>
      </c>
      <c r="I22" s="18" t="s">
        <v>35</v>
      </c>
      <c r="J22" s="8">
        <v>100</v>
      </c>
      <c r="K22" s="18" t="s">
        <v>35</v>
      </c>
      <c r="L22" s="18" t="s">
        <v>35</v>
      </c>
      <c r="M22" s="6" t="s">
        <v>7</v>
      </c>
      <c r="Z22" s="1" t="s">
        <v>37</v>
      </c>
      <c r="AA22" s="1" t="s">
        <v>38</v>
      </c>
      <c r="AG22" s="16"/>
    </row>
    <row r="23" spans="1:33" ht="12">
      <c r="A23" s="6" t="s">
        <v>7</v>
      </c>
      <c r="B23" s="17" t="str">
        <f>B10</f>
        <v>Corn,#2 Sh. 15% Moist. </v>
      </c>
      <c r="D23" s="8">
        <v>85</v>
      </c>
      <c r="E23" s="8">
        <v>10</v>
      </c>
      <c r="F23" s="8">
        <v>50</v>
      </c>
      <c r="G23" s="13">
        <f>E23*F23*0.01</f>
        <v>5</v>
      </c>
      <c r="H23" s="13">
        <f>100-F23</f>
        <v>50</v>
      </c>
      <c r="I23" s="8">
        <v>85</v>
      </c>
      <c r="J23" s="2">
        <v>4.3</v>
      </c>
      <c r="K23" s="19">
        <v>0.02</v>
      </c>
      <c r="L23" s="19">
        <v>0.3</v>
      </c>
      <c r="M23" s="6" t="s">
        <v>7</v>
      </c>
      <c r="AG23" s="16"/>
    </row>
    <row r="24" spans="1:27" ht="12">
      <c r="A24" s="6" t="s">
        <v>7</v>
      </c>
      <c r="B24" s="17" t="str">
        <f>B9</f>
        <v>Urea, 46% N</v>
      </c>
      <c r="D24" s="8">
        <v>98</v>
      </c>
      <c r="E24" s="8">
        <v>281</v>
      </c>
      <c r="F24" s="13">
        <v>0</v>
      </c>
      <c r="G24" s="13">
        <f>E24*F24*0.01</f>
        <v>0</v>
      </c>
      <c r="H24" s="13">
        <f>100-F24</f>
        <v>100</v>
      </c>
      <c r="I24" s="18" t="s">
        <v>35</v>
      </c>
      <c r="J24" s="18" t="s">
        <v>35</v>
      </c>
      <c r="K24" s="18" t="s">
        <v>35</v>
      </c>
      <c r="L24" s="18" t="s">
        <v>35</v>
      </c>
      <c r="M24" s="6" t="s">
        <v>7</v>
      </c>
      <c r="Z24" s="1" t="s">
        <v>39</v>
      </c>
      <c r="AA24" s="1" t="s">
        <v>40</v>
      </c>
    </row>
    <row r="25" spans="1:13" ht="12">
      <c r="A25" s="6" t="s">
        <v>7</v>
      </c>
      <c r="B25" s="17" t="str">
        <f>B8</f>
        <v>Blood Meal</v>
      </c>
      <c r="D25" s="8">
        <v>92</v>
      </c>
      <c r="E25" s="8">
        <v>87.2</v>
      </c>
      <c r="F25" s="8">
        <v>80</v>
      </c>
      <c r="G25" s="13">
        <f>E25*F25*0.01</f>
        <v>69.76</v>
      </c>
      <c r="H25" s="13">
        <f>100-F25</f>
        <v>20</v>
      </c>
      <c r="I25" s="8">
        <v>66</v>
      </c>
      <c r="J25" s="2">
        <v>1.5</v>
      </c>
      <c r="K25" s="19">
        <v>0.32</v>
      </c>
      <c r="L25" s="19">
        <v>0.26</v>
      </c>
      <c r="M25" s="6" t="s">
        <v>7</v>
      </c>
    </row>
    <row r="26" spans="1:27" ht="12">
      <c r="A26" s="6" t="s">
        <v>19</v>
      </c>
      <c r="B26" s="7" t="s">
        <v>20</v>
      </c>
      <c r="C26" s="7" t="s">
        <v>20</v>
      </c>
      <c r="D26" s="7" t="s">
        <v>20</v>
      </c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6" t="s">
        <v>7</v>
      </c>
      <c r="V26" s="1" t="s">
        <v>41</v>
      </c>
      <c r="Z26" s="1" t="s">
        <v>42</v>
      </c>
      <c r="AA26" s="1" t="s">
        <v>43</v>
      </c>
    </row>
    <row r="27" spans="1:22" ht="12">
      <c r="A27" s="6" t="s">
        <v>7</v>
      </c>
      <c r="M27" s="6" t="s">
        <v>7</v>
      </c>
      <c r="V27" s="17">
        <f>G9/(E24*D24*0.01)</f>
        <v>0.11711090130002179</v>
      </c>
    </row>
    <row r="28" spans="1:27" ht="12">
      <c r="A28" s="6" t="s">
        <v>7</v>
      </c>
      <c r="C28" s="2"/>
      <c r="D28" s="3" t="s">
        <v>44</v>
      </c>
      <c r="M28" s="6" t="s">
        <v>7</v>
      </c>
      <c r="Z28" s="1" t="s">
        <v>45</v>
      </c>
      <c r="AA28" s="1" t="s">
        <v>46</v>
      </c>
    </row>
    <row r="29" spans="1:14" ht="12">
      <c r="A29" s="6" t="s">
        <v>7</v>
      </c>
      <c r="B29" s="1" t="s">
        <v>47</v>
      </c>
      <c r="C29" s="2"/>
      <c r="D29" s="1" t="s">
        <v>48</v>
      </c>
      <c r="E29" s="16">
        <f>$E$12/$K$20/(D20*0.01)</f>
        <v>0.17006802721088435</v>
      </c>
      <c r="F29" s="3" t="s">
        <v>49</v>
      </c>
      <c r="G29" s="1" t="s">
        <v>50</v>
      </c>
      <c r="I29" s="1" t="s">
        <v>48</v>
      </c>
      <c r="J29" s="16">
        <f>(E11/(D22*0.01*J22))</f>
        <v>0.47474747474747475</v>
      </c>
      <c r="K29" s="3" t="s">
        <v>49</v>
      </c>
      <c r="M29" s="6" t="s">
        <v>7</v>
      </c>
      <c r="N29" s="9"/>
    </row>
    <row r="30" spans="1:27" ht="12">
      <c r="A30" s="6" t="s">
        <v>7</v>
      </c>
      <c r="B30" s="1" t="s">
        <v>51</v>
      </c>
      <c r="C30" s="2"/>
      <c r="D30" s="1" t="s">
        <v>48</v>
      </c>
      <c r="E30" s="16">
        <f>($E$13-($K$21*$E$29*$D$21*0.01))/($L$21*($D$21*0.01))</f>
        <v>1.4091350826044704</v>
      </c>
      <c r="F30" s="3" t="s">
        <v>49</v>
      </c>
      <c r="G30" s="1" t="s">
        <v>52</v>
      </c>
      <c r="I30" s="1" t="s">
        <v>48</v>
      </c>
      <c r="J30" s="16">
        <f>$U$67</f>
        <v>0.0786923265209633</v>
      </c>
      <c r="K30" s="3" t="s">
        <v>49</v>
      </c>
      <c r="M30" s="6" t="s">
        <v>7</v>
      </c>
      <c r="R30" s="2"/>
      <c r="V30" s="1" t="s">
        <v>53</v>
      </c>
      <c r="Z30" s="1" t="s">
        <v>54</v>
      </c>
      <c r="AA30" s="1" t="s">
        <v>55</v>
      </c>
    </row>
    <row r="31" spans="1:33" ht="12">
      <c r="A31" s="6" t="s">
        <v>7</v>
      </c>
      <c r="B31" s="1" t="s">
        <v>56</v>
      </c>
      <c r="C31" s="2"/>
      <c r="D31" s="1" t="s">
        <v>48</v>
      </c>
      <c r="E31" s="16">
        <f>$U$66</f>
        <v>0.6286391731708011</v>
      </c>
      <c r="F31" s="3" t="s">
        <v>49</v>
      </c>
      <c r="G31" s="1" t="s">
        <v>57</v>
      </c>
      <c r="H31" s="2"/>
      <c r="I31" s="1" t="s">
        <v>48</v>
      </c>
      <c r="J31" s="16">
        <f>$V$27</f>
        <v>0.11711090130002179</v>
      </c>
      <c r="K31" s="3" t="s">
        <v>49</v>
      </c>
      <c r="M31" s="6" t="s">
        <v>7</v>
      </c>
      <c r="O31" s="9"/>
      <c r="P31" s="9"/>
      <c r="Q31" s="9"/>
      <c r="R31" s="2"/>
      <c r="T31" s="9"/>
      <c r="U31" s="9"/>
      <c r="V31" s="4" t="s">
        <v>58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27" ht="12">
      <c r="A32" s="6" t="s">
        <v>19</v>
      </c>
      <c r="B32" s="7" t="s">
        <v>20</v>
      </c>
      <c r="C32" s="7" t="s">
        <v>20</v>
      </c>
      <c r="D32" s="7" t="s">
        <v>20</v>
      </c>
      <c r="E32" s="7" t="s">
        <v>20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6" t="s">
        <v>7</v>
      </c>
      <c r="O32" s="9"/>
      <c r="P32" s="9"/>
      <c r="Q32" s="9"/>
      <c r="R32" s="2"/>
      <c r="T32" s="9"/>
      <c r="V32" s="1" t="s">
        <v>59</v>
      </c>
      <c r="Z32" s="1" t="s">
        <v>60</v>
      </c>
      <c r="AA32" s="1" t="s">
        <v>61</v>
      </c>
    </row>
    <row r="33" spans="13:22" ht="12">
      <c r="M33" s="2"/>
      <c r="T33" s="2"/>
      <c r="V33" s="1" t="s">
        <v>62</v>
      </c>
    </row>
    <row r="34" spans="2:27" ht="12">
      <c r="B34" s="1" t="s">
        <v>63</v>
      </c>
      <c r="U34" s="20"/>
      <c r="X34" s="1" t="s">
        <v>64</v>
      </c>
      <c r="Y34" s="12"/>
      <c r="Z34" s="1" t="s">
        <v>65</v>
      </c>
      <c r="AA34" s="1" t="s">
        <v>66</v>
      </c>
    </row>
    <row r="35" spans="1:19" ht="12">
      <c r="A35" s="6" t="s">
        <v>5</v>
      </c>
      <c r="B35" s="7" t="s">
        <v>6</v>
      </c>
      <c r="C35" s="7" t="s">
        <v>6</v>
      </c>
      <c r="D35" s="7" t="s">
        <v>6</v>
      </c>
      <c r="E35" s="7" t="s">
        <v>6</v>
      </c>
      <c r="F35" s="7" t="s">
        <v>6</v>
      </c>
      <c r="G35" s="7" t="s">
        <v>6</v>
      </c>
      <c r="H35" s="7" t="s">
        <v>6</v>
      </c>
      <c r="I35" s="7" t="s">
        <v>6</v>
      </c>
      <c r="J35" s="7" t="s">
        <v>6</v>
      </c>
      <c r="K35" s="7" t="s">
        <v>6</v>
      </c>
      <c r="L35" s="7" t="s">
        <v>6</v>
      </c>
      <c r="M35" s="7" t="s">
        <v>6</v>
      </c>
      <c r="N35" s="7" t="s">
        <v>6</v>
      </c>
      <c r="O35" s="7" t="s">
        <v>6</v>
      </c>
      <c r="P35" s="7" t="s">
        <v>6</v>
      </c>
      <c r="Q35" s="7" t="s">
        <v>6</v>
      </c>
      <c r="R35" s="7" t="s">
        <v>6</v>
      </c>
      <c r="S35" s="6" t="s">
        <v>7</v>
      </c>
    </row>
    <row r="36" spans="1:25" ht="12">
      <c r="A36" s="6" t="s">
        <v>7</v>
      </c>
      <c r="E36" s="8"/>
      <c r="F36" s="3" t="s">
        <v>67</v>
      </c>
      <c r="G36" s="3" t="s">
        <v>24</v>
      </c>
      <c r="H36" s="3" t="s">
        <v>68</v>
      </c>
      <c r="I36" s="3" t="s">
        <v>27</v>
      </c>
      <c r="J36" s="9"/>
      <c r="K36" s="9"/>
      <c r="L36" s="9"/>
      <c r="M36" s="9"/>
      <c r="N36" s="1" t="s">
        <v>69</v>
      </c>
      <c r="P36" s="1" t="s">
        <v>70</v>
      </c>
      <c r="S36" s="6" t="s">
        <v>7</v>
      </c>
      <c r="U36" s="20">
        <f>$G$8/($D$25*0.01)</f>
        <v>45.65217391304348</v>
      </c>
      <c r="V36" s="1" t="s">
        <v>71</v>
      </c>
      <c r="W36" s="3" t="s">
        <v>72</v>
      </c>
      <c r="Y36" s="12"/>
    </row>
    <row r="37" spans="1:25" ht="12">
      <c r="A37" s="6" t="s">
        <v>7</v>
      </c>
      <c r="B37" s="1" t="s">
        <v>73</v>
      </c>
      <c r="E37" s="18" t="s">
        <v>74</v>
      </c>
      <c r="F37" s="3" t="s">
        <v>25</v>
      </c>
      <c r="G37" s="3" t="s">
        <v>32</v>
      </c>
      <c r="H37" s="3" t="s">
        <v>75</v>
      </c>
      <c r="I37" s="3" t="s">
        <v>75</v>
      </c>
      <c r="J37" s="21" t="s">
        <v>28</v>
      </c>
      <c r="K37" s="21" t="s">
        <v>29</v>
      </c>
      <c r="L37" s="21" t="s">
        <v>30</v>
      </c>
      <c r="M37" s="21" t="s">
        <v>76</v>
      </c>
      <c r="N37" s="3" t="s">
        <v>77</v>
      </c>
      <c r="O37" s="3" t="s">
        <v>11</v>
      </c>
      <c r="P37" s="1" t="s">
        <v>78</v>
      </c>
      <c r="S37" s="6" t="s">
        <v>7</v>
      </c>
      <c r="U37" s="20">
        <f>($G$10/$D$23*100)</f>
        <v>11.533613445378151</v>
      </c>
      <c r="V37" s="1" t="s">
        <v>79</v>
      </c>
      <c r="W37" s="1" t="s">
        <v>80</v>
      </c>
      <c r="Y37" s="12"/>
    </row>
    <row r="38" spans="1:25" ht="12">
      <c r="A38" s="6" t="s">
        <v>7</v>
      </c>
      <c r="E38" s="8"/>
      <c r="F38" s="2"/>
      <c r="G38" s="21" t="s">
        <v>81</v>
      </c>
      <c r="J38" s="9"/>
      <c r="K38" s="9"/>
      <c r="L38" s="9"/>
      <c r="M38" s="9"/>
      <c r="N38" s="3" t="s">
        <v>74</v>
      </c>
      <c r="O38" s="3" t="s">
        <v>82</v>
      </c>
      <c r="P38" s="2">
        <v>0</v>
      </c>
      <c r="Q38" s="2">
        <v>3</v>
      </c>
      <c r="R38" s="2">
        <v>6</v>
      </c>
      <c r="S38" s="6" t="s">
        <v>7</v>
      </c>
      <c r="U38" s="20"/>
      <c r="V38" s="22"/>
      <c r="W38" s="3" t="s">
        <v>83</v>
      </c>
      <c r="Y38" s="12"/>
    </row>
    <row r="39" spans="1:19" ht="12">
      <c r="A39" s="6" t="s">
        <v>84</v>
      </c>
      <c r="B39" s="7" t="s">
        <v>85</v>
      </c>
      <c r="C39" s="7" t="s">
        <v>85</v>
      </c>
      <c r="D39" s="1" t="s">
        <v>86</v>
      </c>
      <c r="E39" s="23" t="s">
        <v>87</v>
      </c>
      <c r="F39" s="23" t="s">
        <v>88</v>
      </c>
      <c r="G39" s="23" t="s">
        <v>88</v>
      </c>
      <c r="H39" s="23" t="s">
        <v>86</v>
      </c>
      <c r="I39" s="23" t="s">
        <v>86</v>
      </c>
      <c r="J39" s="23" t="s">
        <v>88</v>
      </c>
      <c r="K39" s="23" t="s">
        <v>88</v>
      </c>
      <c r="L39" s="23" t="s">
        <v>88</v>
      </c>
      <c r="M39" s="23" t="s">
        <v>86</v>
      </c>
      <c r="N39" s="23" t="s">
        <v>89</v>
      </c>
      <c r="O39" s="23" t="s">
        <v>89</v>
      </c>
      <c r="P39" s="23" t="s">
        <v>88</v>
      </c>
      <c r="Q39" s="23" t="s">
        <v>88</v>
      </c>
      <c r="R39" s="23" t="s">
        <v>90</v>
      </c>
      <c r="S39" s="6" t="s">
        <v>7</v>
      </c>
    </row>
    <row r="40" spans="1:19" ht="12">
      <c r="A40" s="6" t="s">
        <v>7</v>
      </c>
      <c r="B40" s="10" t="s">
        <v>91</v>
      </c>
      <c r="C40" s="2"/>
      <c r="D40" s="2"/>
      <c r="E40" s="8">
        <v>88</v>
      </c>
      <c r="F40" s="13">
        <f aca="true" t="shared" si="0" ref="F40:F55">G40*H40*0.01</f>
        <v>5.6000000000000005</v>
      </c>
      <c r="G40" s="8">
        <v>20</v>
      </c>
      <c r="H40" s="8">
        <v>28</v>
      </c>
      <c r="I40" s="13">
        <f aca="true" t="shared" si="1" ref="I40:I55">100-H40</f>
        <v>72</v>
      </c>
      <c r="J40" s="8">
        <f>88.9-0.779*30.65</f>
        <v>65.02365</v>
      </c>
      <c r="K40" s="8">
        <v>3</v>
      </c>
      <c r="L40" s="19">
        <v>1.35</v>
      </c>
      <c r="M40" s="19">
        <v>0.3</v>
      </c>
      <c r="N40" s="12">
        <f aca="true" t="shared" si="2" ref="N40:N55">IF(K40&gt;3,$U$66*F40+$U$67*(J40-G40*0.75)+$E$29*L40+$E$30*M40+(K40-3)*$J$29-K40*1.77*$U$67+$V$27*G40*I40*0.01,$U$66*F40+$U$67*(J40-G40*0.75)+(K40-3)*$J$29+$E$29*L40+$E$30*M40+$V$27*G40*I40*0.01)</f>
        <v>9.79558610956322</v>
      </c>
      <c r="O40" s="12">
        <f aca="true" t="shared" si="3" ref="O40:O55">N40*E40/100</f>
        <v>8.620115776415634</v>
      </c>
      <c r="P40" s="24">
        <f aca="true" t="shared" si="4" ref="P40:P55">$O40*20*((100-$P$38)/100)</f>
        <v>172.40231552831267</v>
      </c>
      <c r="Q40" s="24">
        <f aca="true" t="shared" si="5" ref="Q40:Q55">$O40*20*((100-$Q$38)/100)</f>
        <v>167.2302460624633</v>
      </c>
      <c r="R40" s="24">
        <f aca="true" t="shared" si="6" ref="R40:R55">$O40*20*((100-$R$38)/100)</f>
        <v>162.0581765966139</v>
      </c>
      <c r="S40" s="6" t="s">
        <v>7</v>
      </c>
    </row>
    <row r="41" spans="1:19" ht="12">
      <c r="A41" s="6" t="s">
        <v>7</v>
      </c>
      <c r="B41" s="10" t="s">
        <v>92</v>
      </c>
      <c r="C41" s="2"/>
      <c r="D41" s="2"/>
      <c r="E41" s="8">
        <v>88</v>
      </c>
      <c r="F41" s="13">
        <f t="shared" si="0"/>
        <v>5.04</v>
      </c>
      <c r="G41" s="8">
        <v>18</v>
      </c>
      <c r="H41" s="8">
        <v>28</v>
      </c>
      <c r="I41" s="13">
        <f t="shared" si="1"/>
        <v>72</v>
      </c>
      <c r="J41" s="8">
        <f>88.9-0.779*36</f>
        <v>60.85600000000001</v>
      </c>
      <c r="K41" s="8">
        <v>3</v>
      </c>
      <c r="L41" s="19">
        <v>1.3</v>
      </c>
      <c r="M41" s="19">
        <v>0.29</v>
      </c>
      <c r="N41" s="12">
        <f t="shared" si="2"/>
        <v>9.042390137685304</v>
      </c>
      <c r="O41" s="12">
        <f t="shared" si="3"/>
        <v>7.957303321163067</v>
      </c>
      <c r="P41" s="24">
        <f t="shared" si="4"/>
        <v>159.14606642326135</v>
      </c>
      <c r="Q41" s="24">
        <f t="shared" si="5"/>
        <v>154.3716844305635</v>
      </c>
      <c r="R41" s="24">
        <f t="shared" si="6"/>
        <v>149.59730243786566</v>
      </c>
      <c r="S41" s="6" t="s">
        <v>7</v>
      </c>
    </row>
    <row r="42" spans="1:19" ht="12">
      <c r="A42" s="6" t="s">
        <v>7</v>
      </c>
      <c r="B42" s="10" t="s">
        <v>93</v>
      </c>
      <c r="C42" s="2"/>
      <c r="D42" s="2"/>
      <c r="E42" s="8">
        <v>88</v>
      </c>
      <c r="F42" s="13">
        <f t="shared" si="0"/>
        <v>3.92</v>
      </c>
      <c r="G42" s="8">
        <v>14</v>
      </c>
      <c r="H42" s="8">
        <v>28</v>
      </c>
      <c r="I42" s="13">
        <f t="shared" si="1"/>
        <v>72</v>
      </c>
      <c r="J42" s="8">
        <f>88.9-0.779*40</f>
        <v>57.74000000000001</v>
      </c>
      <c r="K42" s="8">
        <v>3</v>
      </c>
      <c r="L42" s="19">
        <v>1.2</v>
      </c>
      <c r="M42" s="19">
        <v>0.26</v>
      </c>
      <c r="N42" s="12">
        <f t="shared" si="2"/>
        <v>7.93262570291429</v>
      </c>
      <c r="O42" s="12">
        <f t="shared" si="3"/>
        <v>6.980710618564575</v>
      </c>
      <c r="P42" s="24">
        <f t="shared" si="4"/>
        <v>139.6142123712915</v>
      </c>
      <c r="Q42" s="24">
        <f t="shared" si="5"/>
        <v>135.42578600015275</v>
      </c>
      <c r="R42" s="24">
        <f t="shared" si="6"/>
        <v>131.237359629014</v>
      </c>
      <c r="S42" s="6" t="s">
        <v>7</v>
      </c>
    </row>
    <row r="43" spans="1:19" ht="12">
      <c r="A43" s="6" t="s">
        <v>7</v>
      </c>
      <c r="B43" s="10" t="s">
        <v>94</v>
      </c>
      <c r="C43" s="2"/>
      <c r="D43" s="2"/>
      <c r="E43" s="8">
        <v>35</v>
      </c>
      <c r="F43" s="13">
        <f t="shared" si="0"/>
        <v>2.4</v>
      </c>
      <c r="G43" s="8">
        <v>8</v>
      </c>
      <c r="H43" s="8">
        <v>30</v>
      </c>
      <c r="I43" s="13">
        <f t="shared" si="1"/>
        <v>70</v>
      </c>
      <c r="J43" s="8">
        <f>88.9-0.779*25</f>
        <v>69.42500000000001</v>
      </c>
      <c r="K43" s="8">
        <v>3</v>
      </c>
      <c r="L43" s="19">
        <v>0.3</v>
      </c>
      <c r="M43" s="19">
        <v>0.2</v>
      </c>
      <c r="N43" s="12">
        <f t="shared" si="2"/>
        <v>7.488463297166302</v>
      </c>
      <c r="O43" s="12">
        <f t="shared" si="3"/>
        <v>2.6209621540082053</v>
      </c>
      <c r="P43" s="24">
        <f t="shared" si="4"/>
        <v>52.41924308016411</v>
      </c>
      <c r="Q43" s="24">
        <f t="shared" si="5"/>
        <v>50.846665787759186</v>
      </c>
      <c r="R43" s="24">
        <f t="shared" si="6"/>
        <v>49.274088495354256</v>
      </c>
      <c r="S43" s="6" t="s">
        <v>7</v>
      </c>
    </row>
    <row r="44" spans="1:19" ht="12">
      <c r="A44" s="6" t="s">
        <v>7</v>
      </c>
      <c r="B44" s="10" t="s">
        <v>95</v>
      </c>
      <c r="C44" s="2"/>
      <c r="D44" s="2"/>
      <c r="E44" s="8">
        <v>35</v>
      </c>
      <c r="F44" s="13">
        <f t="shared" si="0"/>
        <v>2.4</v>
      </c>
      <c r="G44" s="8">
        <v>8</v>
      </c>
      <c r="H44" s="8">
        <v>30</v>
      </c>
      <c r="I44" s="13">
        <f t="shared" si="1"/>
        <v>70</v>
      </c>
      <c r="J44" s="8">
        <f>88.9-0.779*31</f>
        <v>64.751</v>
      </c>
      <c r="K44" s="8">
        <v>3</v>
      </c>
      <c r="L44" s="19">
        <v>0.3</v>
      </c>
      <c r="M44" s="19">
        <v>0.2</v>
      </c>
      <c r="N44" s="12">
        <f t="shared" si="2"/>
        <v>7.1206553630073195</v>
      </c>
      <c r="O44" s="12">
        <f t="shared" si="3"/>
        <v>2.4922293770525616</v>
      </c>
      <c r="P44" s="24">
        <f t="shared" si="4"/>
        <v>49.84458754105123</v>
      </c>
      <c r="Q44" s="24">
        <f t="shared" si="5"/>
        <v>48.349249914819694</v>
      </c>
      <c r="R44" s="24">
        <f t="shared" si="6"/>
        <v>46.853912288588155</v>
      </c>
      <c r="S44" s="6" t="s">
        <v>7</v>
      </c>
    </row>
    <row r="45" spans="1:25" ht="12">
      <c r="A45" s="6" t="s">
        <v>7</v>
      </c>
      <c r="B45" s="10" t="s">
        <v>96</v>
      </c>
      <c r="C45" s="2"/>
      <c r="D45" s="2"/>
      <c r="E45" s="8">
        <v>93</v>
      </c>
      <c r="F45" s="13">
        <f t="shared" si="0"/>
        <v>10.75268817204301</v>
      </c>
      <c r="G45" s="8">
        <f>20/0.93</f>
        <v>21.50537634408602</v>
      </c>
      <c r="H45" s="8">
        <v>50</v>
      </c>
      <c r="I45" s="13">
        <f t="shared" si="1"/>
        <v>50</v>
      </c>
      <c r="J45" s="8">
        <v>62</v>
      </c>
      <c r="K45" s="8">
        <v>3</v>
      </c>
      <c r="L45" s="19">
        <v>1.43</v>
      </c>
      <c r="M45" s="19">
        <v>0.29</v>
      </c>
      <c r="N45" s="12">
        <f t="shared" si="2"/>
        <v>12.280357629310434</v>
      </c>
      <c r="O45" s="12">
        <f t="shared" si="3"/>
        <v>11.420732595258704</v>
      </c>
      <c r="P45" s="24">
        <f t="shared" si="4"/>
        <v>228.41465190517408</v>
      </c>
      <c r="Q45" s="24">
        <f t="shared" si="5"/>
        <v>221.56221234801885</v>
      </c>
      <c r="R45" s="24">
        <f t="shared" si="6"/>
        <v>214.70977279086364</v>
      </c>
      <c r="S45" s="6" t="s">
        <v>7</v>
      </c>
      <c r="T45" s="22">
        <f>$U$45</f>
        <v>43.901084116307665</v>
      </c>
      <c r="U45" s="25">
        <f>$U$36-($K$25*$E$29+$L$25*$E$30+$V$27*$E$25*$H$25*0.01-$J$29*$J$25)</f>
        <v>43.901084116307665</v>
      </c>
      <c r="V45" s="22">
        <f>$G$8</f>
        <v>42</v>
      </c>
      <c r="W45" s="22">
        <f>V45*20</f>
        <v>840</v>
      </c>
      <c r="Y45" s="12"/>
    </row>
    <row r="46" spans="1:25" ht="12">
      <c r="A46" s="6" t="s">
        <v>7</v>
      </c>
      <c r="B46" s="10" t="s">
        <v>97</v>
      </c>
      <c r="C46" s="2"/>
      <c r="D46" s="2"/>
      <c r="E46" s="8">
        <v>93</v>
      </c>
      <c r="F46" s="13">
        <f t="shared" si="0"/>
        <v>9.35</v>
      </c>
      <c r="G46" s="8">
        <v>18.7</v>
      </c>
      <c r="H46" s="8">
        <v>50</v>
      </c>
      <c r="I46" s="13">
        <f t="shared" si="1"/>
        <v>50</v>
      </c>
      <c r="J46" s="8">
        <v>60</v>
      </c>
      <c r="K46" s="8">
        <v>3</v>
      </c>
      <c r="L46" s="19">
        <v>1.3</v>
      </c>
      <c r="M46" s="19">
        <v>0.26</v>
      </c>
      <c r="N46" s="12">
        <f t="shared" si="2"/>
        <v>11.178106464954794</v>
      </c>
      <c r="O46" s="12">
        <f t="shared" si="3"/>
        <v>10.39563901240796</v>
      </c>
      <c r="P46" s="24">
        <f t="shared" si="4"/>
        <v>207.9127802481592</v>
      </c>
      <c r="Q46" s="24">
        <f t="shared" si="5"/>
        <v>201.67539684071443</v>
      </c>
      <c r="R46" s="24">
        <f t="shared" si="6"/>
        <v>195.43801343326965</v>
      </c>
      <c r="S46" s="6" t="s">
        <v>7</v>
      </c>
      <c r="T46" s="22">
        <f>$I$25</f>
        <v>66</v>
      </c>
      <c r="U46" s="25">
        <f>$U$37-($K$23*$E$29+$L$23*$E$30+(J23)*$J$29)-$E$23*$H$23*0.01*$V$27</f>
        <v>8.480502912138341</v>
      </c>
      <c r="V46" s="20">
        <f>$G$10</f>
        <v>9.803571428571429</v>
      </c>
      <c r="W46" s="22">
        <f>V46*0.56</f>
        <v>5.490000000000001</v>
      </c>
      <c r="Y46" s="12"/>
    </row>
    <row r="47" spans="1:25" ht="12">
      <c r="A47" s="6" t="s">
        <v>7</v>
      </c>
      <c r="B47" s="10" t="s">
        <v>98</v>
      </c>
      <c r="E47" s="8">
        <v>89</v>
      </c>
      <c r="F47" s="13">
        <f t="shared" si="0"/>
        <v>3.753</v>
      </c>
      <c r="G47" s="8">
        <v>13.9</v>
      </c>
      <c r="H47" s="8">
        <v>27</v>
      </c>
      <c r="I47" s="13">
        <f t="shared" si="1"/>
        <v>73</v>
      </c>
      <c r="J47" s="8">
        <v>83</v>
      </c>
      <c r="K47" s="8">
        <v>2.1</v>
      </c>
      <c r="L47" s="19">
        <v>0.05</v>
      </c>
      <c r="M47" s="19">
        <v>0.37</v>
      </c>
      <c r="N47" s="12">
        <f t="shared" si="2"/>
        <v>9.361313384311721</v>
      </c>
      <c r="O47" s="12">
        <f t="shared" si="3"/>
        <v>8.331568912037431</v>
      </c>
      <c r="P47" s="24">
        <f t="shared" si="4"/>
        <v>166.63137824074863</v>
      </c>
      <c r="Q47" s="24">
        <f t="shared" si="5"/>
        <v>161.63243689352618</v>
      </c>
      <c r="R47" s="24">
        <f t="shared" si="6"/>
        <v>156.6334955463037</v>
      </c>
      <c r="S47" s="6" t="s">
        <v>7</v>
      </c>
      <c r="T47" s="22">
        <f>$E$25</f>
        <v>87.2</v>
      </c>
      <c r="U47" s="25">
        <f>($U$45)/$G$25</f>
        <v>0.6293159993736763</v>
      </c>
      <c r="V47" s="22"/>
      <c r="W47" s="22"/>
      <c r="Y47" s="12"/>
    </row>
    <row r="48" spans="1:25" ht="12">
      <c r="A48" s="6" t="s">
        <v>7</v>
      </c>
      <c r="B48" s="10" t="s">
        <v>99</v>
      </c>
      <c r="E48" s="8">
        <v>90</v>
      </c>
      <c r="F48" s="13">
        <f t="shared" si="0"/>
        <v>5.08</v>
      </c>
      <c r="G48" s="8">
        <v>25.4</v>
      </c>
      <c r="H48" s="8">
        <v>20</v>
      </c>
      <c r="I48" s="13">
        <f t="shared" si="1"/>
        <v>80</v>
      </c>
      <c r="J48" s="8">
        <v>83</v>
      </c>
      <c r="K48" s="8">
        <v>1.7</v>
      </c>
      <c r="L48" s="19">
        <v>0.29</v>
      </c>
      <c r="M48" s="19">
        <v>0.54</v>
      </c>
      <c r="N48" s="12">
        <f t="shared" si="2"/>
        <v>10.798635750465568</v>
      </c>
      <c r="O48" s="12">
        <f t="shared" si="3"/>
        <v>9.718772175419012</v>
      </c>
      <c r="P48" s="24">
        <f t="shared" si="4"/>
        <v>194.37544350838024</v>
      </c>
      <c r="Q48" s="24">
        <f t="shared" si="5"/>
        <v>188.54418020312883</v>
      </c>
      <c r="R48" s="24">
        <f t="shared" si="6"/>
        <v>182.71291689787742</v>
      </c>
      <c r="S48" s="6" t="s">
        <v>7</v>
      </c>
      <c r="T48" s="22"/>
      <c r="U48" s="25">
        <f>($U$46)/(($I$23-($J$23)*2.25-$E$23*0.75))</f>
        <v>0.12503505952286534</v>
      </c>
      <c r="V48" s="22"/>
      <c r="W48" s="22"/>
      <c r="Y48" s="12"/>
    </row>
    <row r="49" spans="1:25" ht="12">
      <c r="A49" s="6" t="s">
        <v>7</v>
      </c>
      <c r="B49" s="10" t="s">
        <v>100</v>
      </c>
      <c r="E49" s="8">
        <v>91</v>
      </c>
      <c r="F49" s="13">
        <f t="shared" si="0"/>
        <v>3.6</v>
      </c>
      <c r="G49" s="8">
        <v>9</v>
      </c>
      <c r="H49" s="8">
        <v>40</v>
      </c>
      <c r="I49" s="13">
        <f t="shared" si="1"/>
        <v>60</v>
      </c>
      <c r="J49" s="8">
        <v>78</v>
      </c>
      <c r="K49" s="8">
        <v>0.6</v>
      </c>
      <c r="L49" s="19">
        <v>0.75</v>
      </c>
      <c r="M49" s="19">
        <v>0.11</v>
      </c>
      <c r="N49" s="12">
        <f t="shared" si="2"/>
        <v>7.6454900951543525</v>
      </c>
      <c r="O49" s="12">
        <f t="shared" si="3"/>
        <v>6.957395986590461</v>
      </c>
      <c r="P49" s="24">
        <f t="shared" si="4"/>
        <v>139.14791973180922</v>
      </c>
      <c r="Q49" s="24">
        <f t="shared" si="5"/>
        <v>134.97348213985495</v>
      </c>
      <c r="R49" s="24">
        <f t="shared" si="6"/>
        <v>130.79904454790065</v>
      </c>
      <c r="S49" s="6" t="s">
        <v>7</v>
      </c>
      <c r="T49" s="22"/>
      <c r="U49" s="25">
        <f>($U$45-(($I$25-$E$25*0.75)*U48))/$G$25</f>
        <v>0.628240583150716</v>
      </c>
      <c r="V49" s="22"/>
      <c r="W49" s="22"/>
      <c r="Y49" s="12"/>
    </row>
    <row r="50" spans="1:25" ht="12">
      <c r="A50" s="6" t="s">
        <v>7</v>
      </c>
      <c r="B50" s="10" t="s">
        <v>9</v>
      </c>
      <c r="E50" s="8">
        <v>92</v>
      </c>
      <c r="F50" s="13">
        <f t="shared" si="0"/>
        <v>69.76</v>
      </c>
      <c r="G50" s="8">
        <v>87.2</v>
      </c>
      <c r="H50" s="8">
        <v>80</v>
      </c>
      <c r="I50" s="13">
        <f t="shared" si="1"/>
        <v>20</v>
      </c>
      <c r="J50" s="8">
        <v>66</v>
      </c>
      <c r="K50" s="8">
        <v>1.5</v>
      </c>
      <c r="L50" s="19">
        <v>0.32</v>
      </c>
      <c r="M50" s="19">
        <v>0.26</v>
      </c>
      <c r="N50" s="12">
        <f t="shared" si="2"/>
        <v>45.652173913043484</v>
      </c>
      <c r="O50" s="12">
        <f t="shared" si="3"/>
        <v>42.00000000000001</v>
      </c>
      <c r="P50" s="24">
        <f t="shared" si="4"/>
        <v>840.0000000000001</v>
      </c>
      <c r="Q50" s="24">
        <f t="shared" si="5"/>
        <v>814.8000000000001</v>
      </c>
      <c r="R50" s="24">
        <f t="shared" si="6"/>
        <v>789.6</v>
      </c>
      <c r="S50" s="6" t="s">
        <v>7</v>
      </c>
      <c r="T50" s="22"/>
      <c r="U50" s="25">
        <f>($U$46-$G$23*U49)/($I$23-($J$23)*2.25-$E$23*0.75)</f>
        <v>0.0787217102305162</v>
      </c>
      <c r="V50" s="22"/>
      <c r="W50" s="22"/>
      <c r="Y50" s="12"/>
    </row>
    <row r="51" spans="1:25" ht="12">
      <c r="A51" s="6" t="s">
        <v>7</v>
      </c>
      <c r="B51" s="10" t="s">
        <v>101</v>
      </c>
      <c r="E51" s="8">
        <v>93</v>
      </c>
      <c r="F51" s="13">
        <f t="shared" si="0"/>
        <v>12.700000000000001</v>
      </c>
      <c r="G51" s="8">
        <v>25.4</v>
      </c>
      <c r="H51" s="8">
        <v>50</v>
      </c>
      <c r="I51" s="13">
        <f t="shared" si="1"/>
        <v>50</v>
      </c>
      <c r="J51" s="8">
        <v>67</v>
      </c>
      <c r="K51" s="8">
        <v>6.5</v>
      </c>
      <c r="L51" s="19">
        <v>0.29</v>
      </c>
      <c r="M51" s="19">
        <v>0.54</v>
      </c>
      <c r="N51" s="12">
        <f t="shared" si="2"/>
        <v>14.81083661994969</v>
      </c>
      <c r="O51" s="12">
        <f t="shared" si="3"/>
        <v>13.774078056553213</v>
      </c>
      <c r="P51" s="24">
        <f t="shared" si="4"/>
        <v>275.48156113106427</v>
      </c>
      <c r="Q51" s="24">
        <f t="shared" si="5"/>
        <v>267.21711429713235</v>
      </c>
      <c r="R51" s="24">
        <f t="shared" si="6"/>
        <v>258.9526674632004</v>
      </c>
      <c r="S51" s="6" t="s">
        <v>7</v>
      </c>
      <c r="T51" s="22"/>
      <c r="U51" s="25">
        <f>($U$45-($I$25-$E$25*0.75)*U50)/$G$25</f>
        <v>0.6286389204439414</v>
      </c>
      <c r="V51" s="22"/>
      <c r="W51" s="22"/>
      <c r="Y51" s="12"/>
    </row>
    <row r="52" spans="1:25" ht="12">
      <c r="A52" s="6" t="s">
        <v>7</v>
      </c>
      <c r="B52" s="10" t="s">
        <v>102</v>
      </c>
      <c r="E52" s="8">
        <v>22</v>
      </c>
      <c r="F52" s="13">
        <f t="shared" si="0"/>
        <v>11.700000000000001</v>
      </c>
      <c r="G52" s="8">
        <v>26</v>
      </c>
      <c r="H52" s="8">
        <v>45</v>
      </c>
      <c r="I52" s="13">
        <f t="shared" si="1"/>
        <v>55</v>
      </c>
      <c r="J52" s="8">
        <v>73</v>
      </c>
      <c r="K52" s="8">
        <v>6.5</v>
      </c>
      <c r="L52" s="19">
        <v>0.29</v>
      </c>
      <c r="M52" s="19">
        <v>0.54</v>
      </c>
      <c r="N52" s="12">
        <f t="shared" si="2"/>
        <v>14.80631730105027</v>
      </c>
      <c r="O52" s="12">
        <f t="shared" si="3"/>
        <v>3.257389806231059</v>
      </c>
      <c r="P52" s="24">
        <f t="shared" si="4"/>
        <v>65.14779612462118</v>
      </c>
      <c r="Q52" s="24">
        <f t="shared" si="5"/>
        <v>63.19336224088254</v>
      </c>
      <c r="R52" s="24">
        <f t="shared" si="6"/>
        <v>61.238928357143905</v>
      </c>
      <c r="S52" s="6" t="s">
        <v>7</v>
      </c>
      <c r="T52" s="22"/>
      <c r="U52" s="25">
        <f>($U$46-$G$23*U51)/($I$23-($J$23)*2.25-$E$23*0.75)</f>
        <v>0.07869234515176754</v>
      </c>
      <c r="V52" s="22"/>
      <c r="W52" s="22"/>
      <c r="Y52" s="12"/>
    </row>
    <row r="53" spans="1:25" ht="12">
      <c r="A53" s="6" t="s">
        <v>7</v>
      </c>
      <c r="B53" s="10" t="s">
        <v>103</v>
      </c>
      <c r="E53" s="8">
        <v>90</v>
      </c>
      <c r="F53" s="13">
        <f t="shared" si="0"/>
        <v>11.34</v>
      </c>
      <c r="G53" s="8">
        <v>40.5</v>
      </c>
      <c r="H53" s="8">
        <v>28</v>
      </c>
      <c r="I53" s="13">
        <f t="shared" si="1"/>
        <v>72</v>
      </c>
      <c r="J53" s="8">
        <v>69</v>
      </c>
      <c r="K53" s="8">
        <v>1.2</v>
      </c>
      <c r="L53" s="19">
        <v>0.68</v>
      </c>
      <c r="M53" s="19">
        <v>1.1</v>
      </c>
      <c r="N53" s="12">
        <f t="shared" si="2"/>
        <v>14.394362612360592</v>
      </c>
      <c r="O53" s="12">
        <f t="shared" si="3"/>
        <v>12.954926351124533</v>
      </c>
      <c r="P53" s="24">
        <f t="shared" si="4"/>
        <v>259.09852702249066</v>
      </c>
      <c r="Q53" s="24">
        <f t="shared" si="5"/>
        <v>251.32557121181594</v>
      </c>
      <c r="R53" s="24">
        <f t="shared" si="6"/>
        <v>243.5526154011412</v>
      </c>
      <c r="S53" s="6" t="s">
        <v>7</v>
      </c>
      <c r="T53" s="22"/>
      <c r="U53" s="25">
        <f>($U$45-($I$25-$E$25*0.75)*U52)/$G$25</f>
        <v>0.628639173010559</v>
      </c>
      <c r="V53" s="22"/>
      <c r="W53" s="22"/>
      <c r="Y53" s="12"/>
    </row>
    <row r="54" spans="1:25" ht="12">
      <c r="A54" s="6" t="s">
        <v>7</v>
      </c>
      <c r="B54" s="10" t="s">
        <v>104</v>
      </c>
      <c r="E54" s="8">
        <v>85</v>
      </c>
      <c r="F54" s="13">
        <f t="shared" si="0"/>
        <v>5.1</v>
      </c>
      <c r="G54" s="8">
        <v>10.2</v>
      </c>
      <c r="H54" s="8">
        <v>50</v>
      </c>
      <c r="I54" s="13">
        <f t="shared" si="1"/>
        <v>50</v>
      </c>
      <c r="J54" s="8">
        <v>88</v>
      </c>
      <c r="K54" s="8">
        <v>4.3</v>
      </c>
      <c r="L54" s="19">
        <v>0.02</v>
      </c>
      <c r="M54" s="19">
        <v>0.3</v>
      </c>
      <c r="N54" s="12">
        <f t="shared" si="2"/>
        <v>10.57064012110682</v>
      </c>
      <c r="O54" s="12">
        <f t="shared" si="3"/>
        <v>8.985044102940797</v>
      </c>
      <c r="P54" s="24">
        <f t="shared" si="4"/>
        <v>179.70088205881595</v>
      </c>
      <c r="Q54" s="24">
        <f t="shared" si="5"/>
        <v>174.30985559705147</v>
      </c>
      <c r="R54" s="24">
        <f t="shared" si="6"/>
        <v>168.91882913528698</v>
      </c>
      <c r="S54" s="6" t="s">
        <v>7</v>
      </c>
      <c r="T54" s="22"/>
      <c r="U54" s="25">
        <f>($U$46-$G$23*U53)/($I$23-($J$23)*2.25-$E$23*0.75)</f>
        <v>0.0786923265327762</v>
      </c>
      <c r="V54" s="22"/>
      <c r="W54" s="22"/>
      <c r="Y54" s="12"/>
    </row>
    <row r="55" spans="1:25" ht="12">
      <c r="A55" s="6" t="s">
        <v>7</v>
      </c>
      <c r="B55" s="10" t="s">
        <v>105</v>
      </c>
      <c r="E55" s="8">
        <v>70</v>
      </c>
      <c r="F55" s="13">
        <f t="shared" si="0"/>
        <v>4.59</v>
      </c>
      <c r="G55" s="8">
        <v>10.2</v>
      </c>
      <c r="H55" s="8">
        <v>45</v>
      </c>
      <c r="I55" s="13">
        <f t="shared" si="1"/>
        <v>55</v>
      </c>
      <c r="J55" s="8">
        <v>88</v>
      </c>
      <c r="K55" s="8">
        <v>4.3</v>
      </c>
      <c r="L55" s="19">
        <v>0.02</v>
      </c>
      <c r="M55" s="19">
        <v>0.3</v>
      </c>
      <c r="N55" s="12">
        <f t="shared" si="2"/>
        <v>10.30976070245272</v>
      </c>
      <c r="O55" s="12">
        <f t="shared" si="3"/>
        <v>7.216832491716905</v>
      </c>
      <c r="P55" s="24">
        <f t="shared" si="4"/>
        <v>144.3366498343381</v>
      </c>
      <c r="Q55" s="24">
        <f t="shared" si="5"/>
        <v>140.00655033930795</v>
      </c>
      <c r="R55" s="24">
        <f t="shared" si="6"/>
        <v>135.6764508442778</v>
      </c>
      <c r="S55" s="6" t="s">
        <v>7</v>
      </c>
      <c r="T55" s="22"/>
      <c r="U55" s="25">
        <f>($U$45-($I$25-$E$25*0.75)*U54)/$G$25</f>
        <v>0.6286391731706995</v>
      </c>
      <c r="V55" s="22"/>
      <c r="W55" s="22"/>
      <c r="Y55" s="12"/>
    </row>
    <row r="56" spans="1:19" ht="12">
      <c r="A56" s="6" t="s">
        <v>19</v>
      </c>
      <c r="B56" s="7" t="s">
        <v>20</v>
      </c>
      <c r="C56" s="7" t="s">
        <v>20</v>
      </c>
      <c r="D56" s="7" t="s">
        <v>20</v>
      </c>
      <c r="E56" s="7" t="s">
        <v>20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  <c r="Q56" s="7" t="s">
        <v>20</v>
      </c>
      <c r="R56" s="7" t="s">
        <v>20</v>
      </c>
      <c r="S56" s="6" t="s">
        <v>7</v>
      </c>
    </row>
    <row r="57" ht="12">
      <c r="A57" s="6" t="s">
        <v>106</v>
      </c>
    </row>
    <row r="58" spans="2:25" ht="12">
      <c r="B58" s="1" t="s">
        <v>63</v>
      </c>
      <c r="T58" s="22"/>
      <c r="U58" s="25">
        <f>($U$46-$G$23*U55)/($I$23-($J$23)*2.25-$E$23*0.75)</f>
        <v>0.07869232652097079</v>
      </c>
      <c r="V58" s="22"/>
      <c r="W58" s="22"/>
      <c r="Y58" s="12"/>
    </row>
    <row r="59" spans="1:19" ht="12">
      <c r="A59" s="6" t="s">
        <v>5</v>
      </c>
      <c r="B59" s="7" t="s">
        <v>6</v>
      </c>
      <c r="C59" s="7" t="s">
        <v>6</v>
      </c>
      <c r="D59" s="7" t="s">
        <v>6</v>
      </c>
      <c r="E59" s="7" t="s">
        <v>6</v>
      </c>
      <c r="F59" s="7" t="s">
        <v>6</v>
      </c>
      <c r="G59" s="7" t="s">
        <v>6</v>
      </c>
      <c r="H59" s="7" t="s">
        <v>6</v>
      </c>
      <c r="I59" s="7" t="s">
        <v>6</v>
      </c>
      <c r="J59" s="7" t="s">
        <v>6</v>
      </c>
      <c r="K59" s="7" t="s">
        <v>6</v>
      </c>
      <c r="L59" s="7" t="s">
        <v>6</v>
      </c>
      <c r="M59" s="7" t="s">
        <v>6</v>
      </c>
      <c r="N59" s="7" t="s">
        <v>6</v>
      </c>
      <c r="O59" s="7" t="s">
        <v>6</v>
      </c>
      <c r="P59" s="7" t="s">
        <v>6</v>
      </c>
      <c r="Q59" s="7" t="s">
        <v>6</v>
      </c>
      <c r="R59" s="7" t="s">
        <v>6</v>
      </c>
      <c r="S59" s="6" t="s">
        <v>7</v>
      </c>
    </row>
    <row r="60" spans="1:25" ht="12">
      <c r="A60" s="6" t="s">
        <v>7</v>
      </c>
      <c r="E60" s="8"/>
      <c r="F60" s="3" t="s">
        <v>67</v>
      </c>
      <c r="G60" s="3" t="s">
        <v>24</v>
      </c>
      <c r="H60" s="3" t="s">
        <v>68</v>
      </c>
      <c r="I60" s="3" t="s">
        <v>27</v>
      </c>
      <c r="J60" s="9"/>
      <c r="K60" s="9"/>
      <c r="L60" s="9"/>
      <c r="M60" s="9"/>
      <c r="N60" s="1" t="s">
        <v>69</v>
      </c>
      <c r="P60" s="1" t="s">
        <v>107</v>
      </c>
      <c r="S60" s="6" t="s">
        <v>7</v>
      </c>
      <c r="T60" s="22"/>
      <c r="U60" s="25">
        <f>($U$45-($I$25-$E$25*0.75)*U58)/$G$25</f>
        <v>0.6286391731708011</v>
      </c>
      <c r="V60" s="22"/>
      <c r="W60" s="22"/>
      <c r="Y60" s="12"/>
    </row>
    <row r="61" spans="1:25" ht="12">
      <c r="A61" s="6" t="s">
        <v>7</v>
      </c>
      <c r="B61" s="1" t="s">
        <v>73</v>
      </c>
      <c r="E61" s="18" t="s">
        <v>74</v>
      </c>
      <c r="F61" s="3" t="s">
        <v>25</v>
      </c>
      <c r="G61" s="3" t="s">
        <v>32</v>
      </c>
      <c r="H61" s="3" t="s">
        <v>75</v>
      </c>
      <c r="I61" s="3" t="s">
        <v>108</v>
      </c>
      <c r="J61" s="21" t="s">
        <v>28</v>
      </c>
      <c r="K61" s="21" t="s">
        <v>29</v>
      </c>
      <c r="L61" s="21" t="s">
        <v>30</v>
      </c>
      <c r="M61" s="21" t="s">
        <v>76</v>
      </c>
      <c r="N61" s="3" t="s">
        <v>77</v>
      </c>
      <c r="O61" s="3" t="s">
        <v>11</v>
      </c>
      <c r="P61" s="1" t="s">
        <v>78</v>
      </c>
      <c r="S61" s="6" t="s">
        <v>7</v>
      </c>
      <c r="T61" s="22"/>
      <c r="U61" s="25">
        <f>($U$46-$G$23*U60)/($I$23-($J$23)*2.25-$E$23*0.75)</f>
        <v>0.0786923265209633</v>
      </c>
      <c r="V61" s="22"/>
      <c r="W61" s="22"/>
      <c r="Y61" s="12"/>
    </row>
    <row r="62" spans="1:25" ht="12">
      <c r="A62" s="6" t="s">
        <v>7</v>
      </c>
      <c r="E62" s="8"/>
      <c r="G62" s="2"/>
      <c r="H62" s="21" t="s">
        <v>109</v>
      </c>
      <c r="J62" s="9"/>
      <c r="K62" s="9"/>
      <c r="L62" s="9"/>
      <c r="M62" s="9"/>
      <c r="N62" s="3" t="s">
        <v>74</v>
      </c>
      <c r="O62" s="3" t="s">
        <v>82</v>
      </c>
      <c r="P62" s="17">
        <f>P38</f>
        <v>0</v>
      </c>
      <c r="Q62" s="17">
        <f>Q38</f>
        <v>3</v>
      </c>
      <c r="R62" s="17">
        <f>R38</f>
        <v>6</v>
      </c>
      <c r="S62" s="6" t="s">
        <v>7</v>
      </c>
      <c r="T62" s="22"/>
      <c r="U62" s="25">
        <f>($U$45-($I$25-$E$25*0.75)*U61)/$G$25</f>
        <v>0.6286391731708011</v>
      </c>
      <c r="V62" s="22"/>
      <c r="W62" s="22"/>
      <c r="Y62" s="12"/>
    </row>
    <row r="63" spans="1:25" ht="12">
      <c r="A63" s="6" t="s">
        <v>84</v>
      </c>
      <c r="B63" s="7" t="s">
        <v>85</v>
      </c>
      <c r="C63" s="7" t="s">
        <v>85</v>
      </c>
      <c r="D63" s="1" t="s">
        <v>86</v>
      </c>
      <c r="E63" s="23" t="s">
        <v>87</v>
      </c>
      <c r="F63" s="23" t="s">
        <v>88</v>
      </c>
      <c r="G63" s="23" t="s">
        <v>88</v>
      </c>
      <c r="H63" s="23" t="s">
        <v>86</v>
      </c>
      <c r="I63" s="23" t="s">
        <v>86</v>
      </c>
      <c r="J63" s="23" t="s">
        <v>88</v>
      </c>
      <c r="K63" s="23" t="s">
        <v>88</v>
      </c>
      <c r="L63" s="23" t="s">
        <v>88</v>
      </c>
      <c r="M63" s="23" t="s">
        <v>86</v>
      </c>
      <c r="N63" s="23" t="s">
        <v>89</v>
      </c>
      <c r="O63" s="23" t="s">
        <v>89</v>
      </c>
      <c r="P63" s="23" t="s">
        <v>88</v>
      </c>
      <c r="Q63" s="23" t="s">
        <v>88</v>
      </c>
      <c r="R63" s="23" t="s">
        <v>90</v>
      </c>
      <c r="S63" s="6" t="s">
        <v>7</v>
      </c>
      <c r="T63" s="22"/>
      <c r="U63" s="25">
        <f>($U$46-$G$23*U62)/($I$23-($J$23)*2.25-$E$23*0.75)</f>
        <v>0.0786923265209633</v>
      </c>
      <c r="V63" s="22"/>
      <c r="W63" s="22"/>
      <c r="Y63" s="12"/>
    </row>
    <row r="64" spans="1:25" ht="12">
      <c r="A64" s="6" t="s">
        <v>7</v>
      </c>
      <c r="B64" s="10" t="s">
        <v>110</v>
      </c>
      <c r="E64" s="8">
        <v>88</v>
      </c>
      <c r="F64" s="13">
        <f aca="true" t="shared" si="7" ref="F64:F103">G64*H64*0.01</f>
        <v>3.2</v>
      </c>
      <c r="G64" s="8">
        <v>8</v>
      </c>
      <c r="H64" s="8">
        <v>40</v>
      </c>
      <c r="I64" s="13">
        <f aca="true" t="shared" si="8" ref="I64:I103">100-H64</f>
        <v>60</v>
      </c>
      <c r="J64" s="8">
        <v>80</v>
      </c>
      <c r="K64" s="8">
        <v>3</v>
      </c>
      <c r="L64" s="19">
        <v>0.1</v>
      </c>
      <c r="M64" s="19">
        <v>0.25</v>
      </c>
      <c r="N64" s="12">
        <f aca="true" t="shared" si="9" ref="N64:N103">IF(K64&gt;3,$U$66*F64+$U$67*(J64-G64*0.75)+$E$29*L64+$E$30*M64+(K64-3)*$J$29-K64*1.77*$U$67+$V$27*G64*I64*0.01,$U$66*F64+$U$67*(J64-G64*0.75)+(K64-3)*$J$29+$E$29*L64+$E$30*M64+$V$27*G64*I64*0.01)</f>
        <v>8.766300416310159</v>
      </c>
      <c r="O64" s="12">
        <f aca="true" t="shared" si="10" ref="O64:O103">N64*E64/100</f>
        <v>7.71434436635294</v>
      </c>
      <c r="P64" s="24">
        <f aca="true" t="shared" si="11" ref="P64:P103">$O64*20*((100-$P$38)/100)</f>
        <v>154.2868873270588</v>
      </c>
      <c r="Q64" s="24">
        <f aca="true" t="shared" si="12" ref="Q64:Q103">$O64*20*((100-$Q$38)/100)</f>
        <v>149.65828070724703</v>
      </c>
      <c r="R64" s="24">
        <f aca="true" t="shared" si="13" ref="R64:R103">$O64*20*((100-$R$38)/100)</f>
        <v>145.02967408743527</v>
      </c>
      <c r="S64" s="6" t="s">
        <v>7</v>
      </c>
      <c r="T64" s="22"/>
      <c r="U64" s="25">
        <f>($U$45-($I$25-$E$25*0.75)*U63)/$G$25</f>
        <v>0.6286391731708011</v>
      </c>
      <c r="V64" s="26">
        <f>($G$25*U64+($I$25-0.75*$E$25)*U65+$K$25*$E$29+$L$25*$E$30)*($D$25/100)</f>
        <v>40.77613052597293</v>
      </c>
      <c r="W64" s="22">
        <f>V64*20</f>
        <v>815.5226105194586</v>
      </c>
      <c r="Y64" s="12"/>
    </row>
    <row r="65" spans="1:25" ht="12">
      <c r="A65" s="6" t="s">
        <v>7</v>
      </c>
      <c r="B65" s="10" t="s">
        <v>111</v>
      </c>
      <c r="E65" s="8">
        <v>90</v>
      </c>
      <c r="F65" s="13">
        <f t="shared" si="7"/>
        <v>1.2</v>
      </c>
      <c r="G65" s="8">
        <v>3</v>
      </c>
      <c r="H65" s="8">
        <v>40</v>
      </c>
      <c r="I65" s="13">
        <f t="shared" si="8"/>
        <v>60</v>
      </c>
      <c r="J65" s="8">
        <v>50</v>
      </c>
      <c r="K65" s="8">
        <v>0.5</v>
      </c>
      <c r="L65" s="19">
        <v>0.1</v>
      </c>
      <c r="M65" s="19">
        <v>0.15</v>
      </c>
      <c r="N65" s="12">
        <f t="shared" si="9"/>
        <v>3.7642335997640703</v>
      </c>
      <c r="O65" s="12">
        <f t="shared" si="10"/>
        <v>3.387810239787663</v>
      </c>
      <c r="P65" s="24">
        <f t="shared" si="11"/>
        <v>67.75620479575326</v>
      </c>
      <c r="Q65" s="24">
        <f t="shared" si="12"/>
        <v>65.72351865188067</v>
      </c>
      <c r="R65" s="24">
        <f t="shared" si="13"/>
        <v>63.690832508008064</v>
      </c>
      <c r="S65" s="6" t="s">
        <v>7</v>
      </c>
      <c r="T65" s="26"/>
      <c r="U65" s="25">
        <f>($U$46-$G$23*U64)/($I$23-($J$23)*2.25-$E$23*0.75)</f>
        <v>0.0786923265209633</v>
      </c>
      <c r="V65" s="20">
        <f>(($G$23*U64+($I$23-$E$23*0.75)*U65+$K$23*$E$29+$L$23*$E$30)*($D$23/100))</f>
        <v>8.217794098071085</v>
      </c>
      <c r="W65" s="22">
        <f>V65*0.56</f>
        <v>4.601964694919808</v>
      </c>
      <c r="Y65" s="12"/>
    </row>
    <row r="66" spans="1:23" ht="12">
      <c r="A66" s="6" t="s">
        <v>7</v>
      </c>
      <c r="B66" s="10" t="s">
        <v>112</v>
      </c>
      <c r="E66" s="8">
        <v>85</v>
      </c>
      <c r="F66" s="13">
        <f t="shared" si="7"/>
        <v>4.65</v>
      </c>
      <c r="G66" s="8">
        <v>9.3</v>
      </c>
      <c r="H66" s="8">
        <v>50</v>
      </c>
      <c r="I66" s="13">
        <f t="shared" si="8"/>
        <v>50</v>
      </c>
      <c r="J66" s="8">
        <v>84</v>
      </c>
      <c r="K66" s="8">
        <v>3.7</v>
      </c>
      <c r="L66" s="19">
        <v>0.04</v>
      </c>
      <c r="M66" s="19">
        <v>0.26</v>
      </c>
      <c r="N66" s="12">
        <f t="shared" si="9"/>
        <v>9.719159325069567</v>
      </c>
      <c r="O66" s="12">
        <f t="shared" si="10"/>
        <v>8.261285426309133</v>
      </c>
      <c r="P66" s="24">
        <f t="shared" si="11"/>
        <v>165.22570852618264</v>
      </c>
      <c r="Q66" s="24">
        <f t="shared" si="12"/>
        <v>160.26893727039715</v>
      </c>
      <c r="R66" s="24">
        <f t="shared" si="13"/>
        <v>155.31216601461168</v>
      </c>
      <c r="S66" s="6" t="s">
        <v>7</v>
      </c>
      <c r="U66" s="25">
        <f>($U$45-($I$25-$E$25*0.75)*U65)/$G$25</f>
        <v>0.6286391731708011</v>
      </c>
      <c r="V66" s="26">
        <f>($G$25*U66+($I$25-0.75*$E$25)*U67+$K$25*$E$29+$L$25*$E$30)*($D$25/100)</f>
        <v>40.77613052597293</v>
      </c>
      <c r="W66" s="9">
        <f>V66*20</f>
        <v>815.5226105194586</v>
      </c>
    </row>
    <row r="67" spans="1:25" ht="12">
      <c r="A67" s="6" t="s">
        <v>7</v>
      </c>
      <c r="B67" s="10" t="s">
        <v>113</v>
      </c>
      <c r="E67" s="8">
        <v>65</v>
      </c>
      <c r="F67" s="13">
        <f t="shared" si="7"/>
        <v>4.1850000000000005</v>
      </c>
      <c r="G67" s="8">
        <v>9.3</v>
      </c>
      <c r="H67" s="8">
        <v>45</v>
      </c>
      <c r="I67" s="13">
        <f t="shared" si="8"/>
        <v>55</v>
      </c>
      <c r="J67" s="8">
        <v>84</v>
      </c>
      <c r="K67" s="8">
        <v>3.7</v>
      </c>
      <c r="L67" s="19">
        <v>0.04</v>
      </c>
      <c r="M67" s="19">
        <v>0.26</v>
      </c>
      <c r="N67" s="12">
        <f t="shared" si="9"/>
        <v>9.481298678649656</v>
      </c>
      <c r="O67" s="12">
        <f t="shared" si="10"/>
        <v>6.162844141122276</v>
      </c>
      <c r="P67" s="24">
        <f t="shared" si="11"/>
        <v>123.25688282244553</v>
      </c>
      <c r="Q67" s="24">
        <f t="shared" si="12"/>
        <v>119.55917633777216</v>
      </c>
      <c r="R67" s="24">
        <f t="shared" si="13"/>
        <v>115.8614698530988</v>
      </c>
      <c r="S67" s="6" t="s">
        <v>7</v>
      </c>
      <c r="T67" s="26"/>
      <c r="U67" s="25">
        <f>($U$46-$G$23*U66)/($I$23-($J$23)*2.25-$E$23*0.75)</f>
        <v>0.0786923265209633</v>
      </c>
      <c r="V67" s="20">
        <f>(($G$23*U66+($I$23-$E$23*0.75)*U67+$K$23*$E$29+$L$23*$E$30)*($D$23/100))</f>
        <v>8.217794098071085</v>
      </c>
      <c r="W67" s="22">
        <f>V67*0.56</f>
        <v>4.601964694919808</v>
      </c>
      <c r="Y67" s="12"/>
    </row>
    <row r="68" spans="1:25" ht="12">
      <c r="A68" s="6" t="s">
        <v>7</v>
      </c>
      <c r="B68" s="10" t="s">
        <v>114</v>
      </c>
      <c r="E68" s="8">
        <v>91</v>
      </c>
      <c r="F68" s="13">
        <f t="shared" si="7"/>
        <v>6.3</v>
      </c>
      <c r="G68" s="8">
        <v>21</v>
      </c>
      <c r="H68" s="8">
        <v>30</v>
      </c>
      <c r="I68" s="13">
        <f t="shared" si="8"/>
        <v>70</v>
      </c>
      <c r="J68" s="8">
        <v>82</v>
      </c>
      <c r="K68" s="8">
        <v>2.4</v>
      </c>
      <c r="L68" s="19">
        <v>0.1</v>
      </c>
      <c r="M68" s="19">
        <v>1</v>
      </c>
      <c r="N68" s="12">
        <f t="shared" si="9"/>
        <v>12.036617072577258</v>
      </c>
      <c r="O68" s="12">
        <f t="shared" si="10"/>
        <v>10.953321536045305</v>
      </c>
      <c r="P68" s="24">
        <f t="shared" si="11"/>
        <v>219.0664307209061</v>
      </c>
      <c r="Q68" s="24">
        <f t="shared" si="12"/>
        <v>212.49443779927893</v>
      </c>
      <c r="R68" s="24">
        <f t="shared" si="13"/>
        <v>205.92244487765174</v>
      </c>
      <c r="S68" s="6" t="s">
        <v>7</v>
      </c>
      <c r="U68" s="25"/>
      <c r="V68" s="26"/>
      <c r="W68" s="9"/>
      <c r="Y68" s="12"/>
    </row>
    <row r="69" spans="1:25" ht="12">
      <c r="A69" s="6" t="s">
        <v>7</v>
      </c>
      <c r="B69" s="10" t="s">
        <v>115</v>
      </c>
      <c r="E69" s="8">
        <v>49</v>
      </c>
      <c r="F69" s="13">
        <f t="shared" si="7"/>
        <v>5.375</v>
      </c>
      <c r="G69" s="8">
        <v>21.5</v>
      </c>
      <c r="H69" s="8">
        <v>25</v>
      </c>
      <c r="I69" s="13">
        <f t="shared" si="8"/>
        <v>75</v>
      </c>
      <c r="J69" s="8">
        <v>82</v>
      </c>
      <c r="K69" s="8">
        <v>2.4</v>
      </c>
      <c r="L69" s="19">
        <v>0.18</v>
      </c>
      <c r="M69" s="19">
        <v>1</v>
      </c>
      <c r="N69" s="12">
        <f t="shared" si="9"/>
        <v>11.606104691478308</v>
      </c>
      <c r="O69" s="12">
        <f t="shared" si="10"/>
        <v>5.6869912988243705</v>
      </c>
      <c r="P69" s="24">
        <f t="shared" si="11"/>
        <v>113.73982597648741</v>
      </c>
      <c r="Q69" s="24">
        <f t="shared" si="12"/>
        <v>110.32763119719279</v>
      </c>
      <c r="R69" s="24">
        <f t="shared" si="13"/>
        <v>106.91543641789816</v>
      </c>
      <c r="S69" s="6" t="s">
        <v>7</v>
      </c>
      <c r="U69" s="25"/>
      <c r="V69" s="26"/>
      <c r="W69" s="9"/>
      <c r="Y69" s="12"/>
    </row>
    <row r="70" spans="1:23" ht="12">
      <c r="A70" s="6" t="s">
        <v>7</v>
      </c>
      <c r="B70" s="10" t="s">
        <v>116</v>
      </c>
      <c r="E70" s="8">
        <v>90</v>
      </c>
      <c r="F70" s="13">
        <f t="shared" si="7"/>
        <v>24.444444444444443</v>
      </c>
      <c r="G70" s="8">
        <f>40/0.9</f>
        <v>44.44444444444444</v>
      </c>
      <c r="H70" s="8">
        <v>55</v>
      </c>
      <c r="I70" s="13">
        <f t="shared" si="8"/>
        <v>45</v>
      </c>
      <c r="J70" s="8">
        <v>82</v>
      </c>
      <c r="K70" s="8">
        <v>2.4</v>
      </c>
      <c r="L70" s="19">
        <v>0.05</v>
      </c>
      <c r="M70" s="19">
        <v>0.8</v>
      </c>
      <c r="N70" s="12">
        <f t="shared" si="9"/>
        <v>22.389609576791422</v>
      </c>
      <c r="O70" s="12">
        <f t="shared" si="10"/>
        <v>20.150648619112282</v>
      </c>
      <c r="P70" s="24">
        <f t="shared" si="11"/>
        <v>403.0129723822456</v>
      </c>
      <c r="Q70" s="24">
        <f t="shared" si="12"/>
        <v>390.9225832107782</v>
      </c>
      <c r="R70" s="24">
        <f t="shared" si="13"/>
        <v>378.8321940393109</v>
      </c>
      <c r="S70" s="6" t="s">
        <v>7</v>
      </c>
      <c r="U70" s="25"/>
      <c r="V70" s="27"/>
      <c r="W70" s="19"/>
    </row>
    <row r="71" spans="1:23" ht="12">
      <c r="A71" s="6" t="s">
        <v>7</v>
      </c>
      <c r="B71" s="10" t="s">
        <v>117</v>
      </c>
      <c r="E71" s="8">
        <v>90</v>
      </c>
      <c r="F71" s="13">
        <f t="shared" si="7"/>
        <v>36.96</v>
      </c>
      <c r="G71" s="8">
        <v>67.2</v>
      </c>
      <c r="H71" s="8">
        <v>55</v>
      </c>
      <c r="I71" s="13">
        <f t="shared" si="8"/>
        <v>45</v>
      </c>
      <c r="J71" s="8">
        <v>82</v>
      </c>
      <c r="K71" s="8">
        <v>2.4</v>
      </c>
      <c r="L71" s="19">
        <v>0.1</v>
      </c>
      <c r="M71" s="19">
        <v>0.8</v>
      </c>
      <c r="N71" s="12">
        <f t="shared" si="9"/>
        <v>30.122081397724084</v>
      </c>
      <c r="O71" s="12">
        <f t="shared" si="10"/>
        <v>27.109873257951676</v>
      </c>
      <c r="P71" s="24">
        <f t="shared" si="11"/>
        <v>542.1974651590335</v>
      </c>
      <c r="Q71" s="24">
        <f t="shared" si="12"/>
        <v>525.9315412042625</v>
      </c>
      <c r="R71" s="24">
        <f t="shared" si="13"/>
        <v>509.6656172494915</v>
      </c>
      <c r="S71" s="6" t="s">
        <v>7</v>
      </c>
      <c r="U71" s="25"/>
      <c r="V71" s="27"/>
      <c r="W71" s="19"/>
    </row>
    <row r="72" spans="1:19" ht="12">
      <c r="A72" s="6" t="s">
        <v>7</v>
      </c>
      <c r="B72" s="10" t="s">
        <v>118</v>
      </c>
      <c r="E72" s="8">
        <v>92</v>
      </c>
      <c r="F72" s="13">
        <f t="shared" si="7"/>
        <v>7.875</v>
      </c>
      <c r="G72" s="8">
        <v>22.5</v>
      </c>
      <c r="H72" s="8">
        <v>35</v>
      </c>
      <c r="I72" s="13">
        <f t="shared" si="8"/>
        <v>65</v>
      </c>
      <c r="J72" s="8">
        <v>96</v>
      </c>
      <c r="K72" s="8">
        <v>17.8</v>
      </c>
      <c r="L72" s="19">
        <v>0.14</v>
      </c>
      <c r="M72" s="19">
        <v>0.56</v>
      </c>
      <c r="N72" s="12">
        <f t="shared" si="9"/>
        <v>18.249718113165283</v>
      </c>
      <c r="O72" s="12">
        <f t="shared" si="10"/>
        <v>16.78974066411206</v>
      </c>
      <c r="P72" s="24">
        <f t="shared" si="11"/>
        <v>335.7948132822412</v>
      </c>
      <c r="Q72" s="24">
        <f t="shared" si="12"/>
        <v>325.72096888377393</v>
      </c>
      <c r="R72" s="24">
        <f t="shared" si="13"/>
        <v>315.6471244853067</v>
      </c>
      <c r="S72" s="6" t="s">
        <v>7</v>
      </c>
    </row>
    <row r="73" spans="1:19" ht="12">
      <c r="A73" s="6" t="s">
        <v>7</v>
      </c>
      <c r="B73" s="10" t="s">
        <v>119</v>
      </c>
      <c r="E73" s="8">
        <v>93</v>
      </c>
      <c r="F73" s="13">
        <f t="shared" si="7"/>
        <v>8.75</v>
      </c>
      <c r="G73" s="8">
        <v>25</v>
      </c>
      <c r="H73" s="8">
        <v>35</v>
      </c>
      <c r="I73" s="13">
        <f t="shared" si="8"/>
        <v>65</v>
      </c>
      <c r="J73" s="8">
        <v>98</v>
      </c>
      <c r="K73" s="8">
        <v>23.8</v>
      </c>
      <c r="L73" s="19">
        <v>0.12</v>
      </c>
      <c r="M73" s="19">
        <v>0.54</v>
      </c>
      <c r="N73" s="12">
        <f t="shared" si="9"/>
        <v>20.9811074237533</v>
      </c>
      <c r="O73" s="12">
        <f t="shared" si="10"/>
        <v>19.51242990409057</v>
      </c>
      <c r="P73" s="24">
        <f t="shared" si="11"/>
        <v>390.2485980818114</v>
      </c>
      <c r="Q73" s="24">
        <f t="shared" si="12"/>
        <v>378.541140139357</v>
      </c>
      <c r="R73" s="24">
        <f t="shared" si="13"/>
        <v>366.8336821969027</v>
      </c>
      <c r="S73" s="6" t="s">
        <v>7</v>
      </c>
    </row>
    <row r="74" spans="1:19" ht="12">
      <c r="A74" s="6" t="s">
        <v>7</v>
      </c>
      <c r="B74" s="10" t="s">
        <v>120</v>
      </c>
      <c r="E74" s="8">
        <v>93</v>
      </c>
      <c r="F74" s="13">
        <f t="shared" si="7"/>
        <v>18.92</v>
      </c>
      <c r="G74" s="8">
        <v>44</v>
      </c>
      <c r="H74" s="8">
        <v>43</v>
      </c>
      <c r="I74" s="13">
        <f t="shared" si="8"/>
        <v>57</v>
      </c>
      <c r="J74" s="8">
        <v>75</v>
      </c>
      <c r="K74" s="8">
        <v>1.3</v>
      </c>
      <c r="L74" s="19">
        <v>0.2</v>
      </c>
      <c r="M74" s="19">
        <v>0.99</v>
      </c>
      <c r="N74" s="12">
        <f t="shared" si="9"/>
        <v>18.758058905026456</v>
      </c>
      <c r="O74" s="12">
        <f t="shared" si="10"/>
        <v>17.444994781674605</v>
      </c>
      <c r="P74" s="24">
        <f t="shared" si="11"/>
        <v>348.8998956334921</v>
      </c>
      <c r="Q74" s="24">
        <f t="shared" si="12"/>
        <v>338.43289876448733</v>
      </c>
      <c r="R74" s="24">
        <f t="shared" si="13"/>
        <v>327.9659018954826</v>
      </c>
      <c r="S74" s="6" t="s">
        <v>7</v>
      </c>
    </row>
    <row r="75" spans="1:19" ht="12">
      <c r="A75" s="6" t="s">
        <v>7</v>
      </c>
      <c r="B75" s="10" t="s">
        <v>121</v>
      </c>
      <c r="E75" s="8">
        <v>92</v>
      </c>
      <c r="F75" s="13">
        <f t="shared" si="7"/>
        <v>14.945652173913043</v>
      </c>
      <c r="G75" s="8">
        <f>25/0.92</f>
        <v>27.173913043478258</v>
      </c>
      <c r="H75" s="8">
        <v>55</v>
      </c>
      <c r="I75" s="13">
        <f t="shared" si="8"/>
        <v>45</v>
      </c>
      <c r="J75" s="8">
        <v>84</v>
      </c>
      <c r="K75" s="8">
        <v>10.3</v>
      </c>
      <c r="L75" s="19">
        <v>0.12</v>
      </c>
      <c r="M75" s="19">
        <v>0.52</v>
      </c>
      <c r="N75" s="12">
        <f t="shared" si="9"/>
        <v>18.618031843154846</v>
      </c>
      <c r="O75" s="12">
        <f t="shared" si="10"/>
        <v>17.128589295702458</v>
      </c>
      <c r="P75" s="24">
        <f t="shared" si="11"/>
        <v>342.57178591404914</v>
      </c>
      <c r="Q75" s="24">
        <f t="shared" si="12"/>
        <v>332.29463233662767</v>
      </c>
      <c r="R75" s="24">
        <f t="shared" si="13"/>
        <v>322.0174787592062</v>
      </c>
      <c r="S75" s="6" t="s">
        <v>7</v>
      </c>
    </row>
    <row r="76" spans="1:23" ht="12">
      <c r="A76" s="6" t="s">
        <v>7</v>
      </c>
      <c r="B76" s="10" t="s">
        <v>122</v>
      </c>
      <c r="E76" s="8">
        <v>92</v>
      </c>
      <c r="F76" s="13">
        <f t="shared" si="7"/>
        <v>17.934782608695652</v>
      </c>
      <c r="G76" s="8">
        <f>30/0.92</f>
        <v>32.608695652173914</v>
      </c>
      <c r="H76" s="8">
        <v>55</v>
      </c>
      <c r="I76" s="13">
        <f t="shared" si="8"/>
        <v>45</v>
      </c>
      <c r="J76" s="8">
        <v>84</v>
      </c>
      <c r="K76" s="8">
        <v>10.3</v>
      </c>
      <c r="L76" s="19">
        <v>0.12</v>
      </c>
      <c r="M76" s="19">
        <v>0.52</v>
      </c>
      <c r="N76" s="12">
        <f t="shared" si="9"/>
        <v>20.46277209281913</v>
      </c>
      <c r="O76" s="12">
        <f t="shared" si="10"/>
        <v>18.8257503253936</v>
      </c>
      <c r="P76" s="24">
        <f t="shared" si="11"/>
        <v>376.515006507872</v>
      </c>
      <c r="Q76" s="24">
        <f t="shared" si="12"/>
        <v>365.2195563126358</v>
      </c>
      <c r="R76" s="24">
        <f t="shared" si="13"/>
        <v>353.9241061173997</v>
      </c>
      <c r="S76" s="6" t="s">
        <v>7</v>
      </c>
      <c r="U76" s="13"/>
      <c r="V76" s="13"/>
      <c r="W76" s="12"/>
    </row>
    <row r="77" spans="1:23" ht="12">
      <c r="A77" s="6"/>
      <c r="B77" s="10" t="s">
        <v>147</v>
      </c>
      <c r="E77" s="8">
        <v>90</v>
      </c>
      <c r="F77" s="13">
        <v>9</v>
      </c>
      <c r="G77" s="8">
        <v>23</v>
      </c>
      <c r="H77" s="8">
        <v>25</v>
      </c>
      <c r="I77" s="13">
        <f t="shared" si="8"/>
        <v>75</v>
      </c>
      <c r="J77" s="8">
        <v>110</v>
      </c>
      <c r="K77" s="8">
        <v>39</v>
      </c>
      <c r="L77" s="19">
        <v>0.26</v>
      </c>
      <c r="M77" s="19">
        <v>0.56</v>
      </c>
      <c r="N77" s="12">
        <f>IF(K77&gt;3,$U$66*F77+$U$67*(J77-G77*0.75)+$E$29*L77+$E$30*M77+(K77-3)*$J$29-K77*1.77*$U$67+$V$27*G77*I77*0.01,$U$66*F77+$U$67*(J77-G77*0.75)+(K77-3)*$J$29+$E$29*L77+$E$30*M77+$V$27*G77*I77*0.01)</f>
        <v>27.468740015282258</v>
      </c>
      <c r="O77" s="12">
        <f>N77*E77/100</f>
        <v>24.721866013754035</v>
      </c>
      <c r="P77" s="24">
        <f t="shared" si="11"/>
        <v>494.4373202750807</v>
      </c>
      <c r="Q77" s="24">
        <f t="shared" si="12"/>
        <v>479.60420066682826</v>
      </c>
      <c r="R77" s="24">
        <f t="shared" si="13"/>
        <v>464.7710810585758</v>
      </c>
      <c r="S77" s="6"/>
      <c r="U77" s="13"/>
      <c r="V77" s="13"/>
      <c r="W77" s="12"/>
    </row>
    <row r="78" spans="1:23" ht="12">
      <c r="A78" s="6" t="s">
        <v>7</v>
      </c>
      <c r="B78" s="10" t="s">
        <v>123</v>
      </c>
      <c r="E78" s="8">
        <v>93</v>
      </c>
      <c r="F78" s="13">
        <f t="shared" si="7"/>
        <v>58.5</v>
      </c>
      <c r="G78" s="8">
        <v>90</v>
      </c>
      <c r="H78" s="8">
        <v>65</v>
      </c>
      <c r="I78" s="13">
        <f t="shared" si="8"/>
        <v>35</v>
      </c>
      <c r="J78" s="8">
        <v>70</v>
      </c>
      <c r="K78" s="8">
        <v>3.8</v>
      </c>
      <c r="L78" s="19">
        <v>0.28</v>
      </c>
      <c r="M78" s="19">
        <v>0.72</v>
      </c>
      <c r="N78" s="12">
        <f t="shared" si="9"/>
        <v>41.5738255364572</v>
      </c>
      <c r="O78" s="12">
        <f t="shared" si="10"/>
        <v>38.663657748905194</v>
      </c>
      <c r="P78" s="24">
        <f t="shared" si="11"/>
        <v>773.2731549781039</v>
      </c>
      <c r="Q78" s="24">
        <f t="shared" si="12"/>
        <v>750.0749603287608</v>
      </c>
      <c r="R78" s="24">
        <f t="shared" si="13"/>
        <v>726.8767656794176</v>
      </c>
      <c r="S78" s="6" t="s">
        <v>7</v>
      </c>
      <c r="U78" s="13"/>
      <c r="V78" s="13"/>
      <c r="W78" s="12"/>
    </row>
    <row r="79" spans="1:23" ht="12">
      <c r="A79" s="6" t="s">
        <v>7</v>
      </c>
      <c r="B79" s="10" t="s">
        <v>124</v>
      </c>
      <c r="E79" s="8">
        <v>91</v>
      </c>
      <c r="F79" s="13">
        <f t="shared" si="7"/>
        <v>43.355000000000004</v>
      </c>
      <c r="G79" s="8">
        <v>66.7</v>
      </c>
      <c r="H79" s="8">
        <v>65</v>
      </c>
      <c r="I79" s="13">
        <f t="shared" si="8"/>
        <v>35</v>
      </c>
      <c r="J79" s="8">
        <v>77</v>
      </c>
      <c r="K79" s="8">
        <v>10.5</v>
      </c>
      <c r="L79" s="19">
        <v>5.7</v>
      </c>
      <c r="M79" s="19">
        <v>3.28</v>
      </c>
      <c r="N79" s="12">
        <f t="shared" si="9"/>
        <v>39.80079084983074</v>
      </c>
      <c r="O79" s="12">
        <f t="shared" si="10"/>
        <v>36.21871967334597</v>
      </c>
      <c r="P79" s="24">
        <f t="shared" si="11"/>
        <v>724.3743934669194</v>
      </c>
      <c r="Q79" s="24">
        <f t="shared" si="12"/>
        <v>702.6431616629118</v>
      </c>
      <c r="R79" s="24">
        <f t="shared" si="13"/>
        <v>680.9119298589042</v>
      </c>
      <c r="S79" s="6" t="s">
        <v>7</v>
      </c>
      <c r="U79" s="13"/>
      <c r="V79" s="13"/>
      <c r="W79" s="12"/>
    </row>
    <row r="80" spans="1:23" ht="12">
      <c r="A80" s="6" t="s">
        <v>7</v>
      </c>
      <c r="B80" s="10" t="s">
        <v>125</v>
      </c>
      <c r="E80" s="8">
        <v>90</v>
      </c>
      <c r="F80" s="13">
        <f t="shared" si="7"/>
        <v>3.3000000000000003</v>
      </c>
      <c r="G80" s="8">
        <v>11</v>
      </c>
      <c r="H80" s="8">
        <v>30</v>
      </c>
      <c r="I80" s="13">
        <f t="shared" si="8"/>
        <v>70</v>
      </c>
      <c r="J80" s="8">
        <v>70</v>
      </c>
      <c r="K80" s="8">
        <v>2.5</v>
      </c>
      <c r="L80" s="19">
        <v>0.1</v>
      </c>
      <c r="M80" s="19">
        <v>0.25</v>
      </c>
      <c r="N80" s="12">
        <f t="shared" si="9"/>
        <v>7.967431210141764</v>
      </c>
      <c r="O80" s="12">
        <f t="shared" si="10"/>
        <v>7.170688089127587</v>
      </c>
      <c r="P80" s="24">
        <f t="shared" si="11"/>
        <v>143.41376178255175</v>
      </c>
      <c r="Q80" s="24">
        <f t="shared" si="12"/>
        <v>139.11134892907518</v>
      </c>
      <c r="R80" s="24">
        <f t="shared" si="13"/>
        <v>134.80893607559864</v>
      </c>
      <c r="S80" s="6" t="s">
        <v>7</v>
      </c>
      <c r="U80" s="13"/>
      <c r="V80" s="13"/>
      <c r="W80" s="13"/>
    </row>
    <row r="81" spans="1:23" ht="12">
      <c r="A81" s="6" t="s">
        <v>7</v>
      </c>
      <c r="B81" s="10" t="s">
        <v>126</v>
      </c>
      <c r="E81" s="8">
        <v>90</v>
      </c>
      <c r="F81" s="13">
        <f t="shared" si="7"/>
        <v>4.5</v>
      </c>
      <c r="G81" s="8">
        <v>9</v>
      </c>
      <c r="H81" s="8">
        <v>50</v>
      </c>
      <c r="I81" s="13">
        <f t="shared" si="8"/>
        <v>50</v>
      </c>
      <c r="J81" s="8">
        <v>86</v>
      </c>
      <c r="K81" s="8">
        <v>7.7</v>
      </c>
      <c r="L81" s="19">
        <v>0.02</v>
      </c>
      <c r="M81" s="19">
        <v>0.3</v>
      </c>
      <c r="N81" s="12">
        <f t="shared" si="9"/>
        <v>11.177199510389524</v>
      </c>
      <c r="O81" s="12">
        <f t="shared" si="10"/>
        <v>10.05947955935057</v>
      </c>
      <c r="P81" s="24">
        <f t="shared" si="11"/>
        <v>201.18959118701142</v>
      </c>
      <c r="Q81" s="24">
        <f t="shared" si="12"/>
        <v>195.15390345140108</v>
      </c>
      <c r="R81" s="24">
        <f t="shared" si="13"/>
        <v>189.1182157157907</v>
      </c>
      <c r="S81" s="6" t="s">
        <v>7</v>
      </c>
      <c r="U81" s="13"/>
      <c r="V81" s="13"/>
      <c r="W81" s="12"/>
    </row>
    <row r="82" spans="1:23" ht="12">
      <c r="A82" s="6" t="s">
        <v>7</v>
      </c>
      <c r="B82" s="10" t="s">
        <v>127</v>
      </c>
      <c r="E82" s="8">
        <v>91</v>
      </c>
      <c r="F82" s="13">
        <f t="shared" si="7"/>
        <v>13.58</v>
      </c>
      <c r="G82" s="8">
        <v>38.8</v>
      </c>
      <c r="H82" s="8">
        <v>35</v>
      </c>
      <c r="I82" s="13">
        <f t="shared" si="8"/>
        <v>65</v>
      </c>
      <c r="J82" s="8">
        <v>76</v>
      </c>
      <c r="K82" s="8">
        <v>1.4</v>
      </c>
      <c r="L82" s="19">
        <v>0.43</v>
      </c>
      <c r="M82" s="19">
        <v>0.91</v>
      </c>
      <c r="N82" s="12">
        <f t="shared" si="9"/>
        <v>15.776973233553996</v>
      </c>
      <c r="O82" s="12">
        <f t="shared" si="10"/>
        <v>14.357045642534136</v>
      </c>
      <c r="P82" s="24">
        <f t="shared" si="11"/>
        <v>287.1409128506827</v>
      </c>
      <c r="Q82" s="24">
        <f t="shared" si="12"/>
        <v>278.5266854651622</v>
      </c>
      <c r="R82" s="24">
        <f t="shared" si="13"/>
        <v>269.91245807964174</v>
      </c>
      <c r="S82" s="6" t="s">
        <v>7</v>
      </c>
      <c r="W82" s="28"/>
    </row>
    <row r="83" spans="1:23" ht="12">
      <c r="A83" s="6" t="s">
        <v>7</v>
      </c>
      <c r="B83" s="10" t="s">
        <v>128</v>
      </c>
      <c r="E83" s="8">
        <v>90.6</v>
      </c>
      <c r="F83" s="13">
        <f t="shared" si="7"/>
        <v>9.1</v>
      </c>
      <c r="G83" s="8">
        <v>26</v>
      </c>
      <c r="H83" s="8">
        <v>35</v>
      </c>
      <c r="I83" s="13">
        <f t="shared" si="8"/>
        <v>65</v>
      </c>
      <c r="J83" s="8">
        <v>70</v>
      </c>
      <c r="K83" s="8">
        <v>1.4</v>
      </c>
      <c r="L83" s="19">
        <v>0.09</v>
      </c>
      <c r="M83" s="19">
        <v>0.52</v>
      </c>
      <c r="N83" s="12">
        <f t="shared" si="9"/>
        <v>11.66221360294065</v>
      </c>
      <c r="O83" s="12">
        <f t="shared" si="10"/>
        <v>10.565965524264227</v>
      </c>
      <c r="P83" s="24">
        <f t="shared" si="11"/>
        <v>211.31931048528455</v>
      </c>
      <c r="Q83" s="24">
        <f t="shared" si="12"/>
        <v>204.979731170726</v>
      </c>
      <c r="R83" s="24">
        <f t="shared" si="13"/>
        <v>198.64015185616745</v>
      </c>
      <c r="S83" s="6" t="s">
        <v>7</v>
      </c>
      <c r="W83" s="28"/>
    </row>
    <row r="84" spans="1:23" ht="12">
      <c r="A84" s="6" t="s">
        <v>7</v>
      </c>
      <c r="B84" s="10" t="s">
        <v>129</v>
      </c>
      <c r="E84" s="8">
        <v>93.5</v>
      </c>
      <c r="F84" s="13">
        <f t="shared" si="7"/>
        <v>35.62</v>
      </c>
      <c r="G84" s="8">
        <v>54.8</v>
      </c>
      <c r="H84" s="8">
        <v>65</v>
      </c>
      <c r="I84" s="13">
        <f t="shared" si="8"/>
        <v>35</v>
      </c>
      <c r="J84" s="8">
        <v>76</v>
      </c>
      <c r="K84" s="8">
        <v>9.7</v>
      </c>
      <c r="L84" s="19">
        <v>8.5</v>
      </c>
      <c r="M84" s="19">
        <v>4.3</v>
      </c>
      <c r="N84" s="12">
        <f t="shared" si="9"/>
        <v>36.71927524412137</v>
      </c>
      <c r="O84" s="12">
        <f t="shared" si="10"/>
        <v>34.33252235325348</v>
      </c>
      <c r="P84" s="24">
        <f t="shared" si="11"/>
        <v>686.6504470650696</v>
      </c>
      <c r="Q84" s="24">
        <f t="shared" si="12"/>
        <v>666.0509336531175</v>
      </c>
      <c r="R84" s="24">
        <f t="shared" si="13"/>
        <v>645.4514202411654</v>
      </c>
      <c r="S84" s="6" t="s">
        <v>7</v>
      </c>
      <c r="T84" s="13"/>
      <c r="U84" s="12"/>
      <c r="V84" s="12"/>
      <c r="W84" s="28"/>
    </row>
    <row r="85" spans="1:23" ht="12">
      <c r="A85" s="6" t="s">
        <v>7</v>
      </c>
      <c r="B85" s="10" t="s">
        <v>130</v>
      </c>
      <c r="E85" s="8">
        <v>94</v>
      </c>
      <c r="F85" s="13">
        <f t="shared" si="7"/>
        <v>32.46</v>
      </c>
      <c r="G85" s="8">
        <v>54.1</v>
      </c>
      <c r="H85" s="8">
        <v>60</v>
      </c>
      <c r="I85" s="13">
        <f t="shared" si="8"/>
        <v>40</v>
      </c>
      <c r="J85" s="8">
        <v>71</v>
      </c>
      <c r="K85" s="8">
        <v>10.4</v>
      </c>
      <c r="L85" s="8">
        <v>11.1</v>
      </c>
      <c r="M85" s="19">
        <v>5.5</v>
      </c>
      <c r="N85" s="12">
        <f t="shared" si="9"/>
        <v>37.03668252255581</v>
      </c>
      <c r="O85" s="12">
        <f t="shared" si="10"/>
        <v>34.81448157120246</v>
      </c>
      <c r="P85" s="24">
        <f t="shared" si="11"/>
        <v>696.2896314240492</v>
      </c>
      <c r="Q85" s="24">
        <f t="shared" si="12"/>
        <v>675.4009424813277</v>
      </c>
      <c r="R85" s="24">
        <f t="shared" si="13"/>
        <v>654.5122535386062</v>
      </c>
      <c r="S85" s="6" t="s">
        <v>7</v>
      </c>
      <c r="T85" s="13"/>
      <c r="U85" s="12"/>
      <c r="V85" s="12"/>
      <c r="W85" s="28"/>
    </row>
    <row r="86" spans="1:25" ht="12">
      <c r="A86" s="6" t="s">
        <v>7</v>
      </c>
      <c r="B86" s="10" t="s">
        <v>131</v>
      </c>
      <c r="E86" s="8">
        <v>75</v>
      </c>
      <c r="F86" s="13">
        <f t="shared" si="7"/>
        <v>1.075</v>
      </c>
      <c r="G86" s="8">
        <v>4.3</v>
      </c>
      <c r="H86" s="8">
        <v>25</v>
      </c>
      <c r="I86" s="13">
        <f t="shared" si="8"/>
        <v>75</v>
      </c>
      <c r="J86" s="8">
        <v>80</v>
      </c>
      <c r="K86" s="8">
        <v>0.1</v>
      </c>
      <c r="L86" s="19">
        <v>1.19</v>
      </c>
      <c r="M86" s="19">
        <v>0.11</v>
      </c>
      <c r="N86" s="12">
        <f t="shared" si="9"/>
        <v>6.075691271197907</v>
      </c>
      <c r="O86" s="12">
        <f t="shared" si="10"/>
        <v>4.55676845339843</v>
      </c>
      <c r="P86" s="24">
        <f t="shared" si="11"/>
        <v>91.1353690679686</v>
      </c>
      <c r="Q86" s="24">
        <f t="shared" si="12"/>
        <v>88.40130799592954</v>
      </c>
      <c r="R86" s="24">
        <f t="shared" si="13"/>
        <v>85.66724692389047</v>
      </c>
      <c r="S86" s="6" t="s">
        <v>7</v>
      </c>
      <c r="T86" s="9"/>
      <c r="U86" s="12"/>
      <c r="V86" s="12"/>
      <c r="W86" s="28"/>
      <c r="X86" s="13"/>
      <c r="Y86" s="12"/>
    </row>
    <row r="87" spans="1:20" ht="12">
      <c r="A87" s="6" t="s">
        <v>7</v>
      </c>
      <c r="B87" s="10" t="s">
        <v>132</v>
      </c>
      <c r="E87" s="8">
        <v>89</v>
      </c>
      <c r="F87" s="13">
        <f t="shared" si="7"/>
        <v>2.72</v>
      </c>
      <c r="G87" s="8">
        <v>13.6</v>
      </c>
      <c r="H87" s="8">
        <v>20</v>
      </c>
      <c r="I87" s="13">
        <f t="shared" si="8"/>
        <v>80</v>
      </c>
      <c r="J87" s="8">
        <v>76</v>
      </c>
      <c r="K87" s="8">
        <v>5.4</v>
      </c>
      <c r="L87" s="19">
        <v>0.1</v>
      </c>
      <c r="M87" s="19">
        <v>0.32</v>
      </c>
      <c r="N87" s="12">
        <f t="shared" si="9"/>
        <v>9.017202953909292</v>
      </c>
      <c r="O87" s="12">
        <f t="shared" si="10"/>
        <v>8.02531062897927</v>
      </c>
      <c r="P87" s="24">
        <f t="shared" si="11"/>
        <v>160.5062125795854</v>
      </c>
      <c r="Q87" s="24">
        <f t="shared" si="12"/>
        <v>155.69102620219783</v>
      </c>
      <c r="R87" s="24">
        <f t="shared" si="13"/>
        <v>150.87583982481027</v>
      </c>
      <c r="S87" s="6" t="s">
        <v>7</v>
      </c>
      <c r="T87" s="13"/>
    </row>
    <row r="88" spans="1:23" ht="12">
      <c r="A88" s="6" t="s">
        <v>7</v>
      </c>
      <c r="B88" s="10" t="s">
        <v>133</v>
      </c>
      <c r="E88" s="8">
        <v>89</v>
      </c>
      <c r="F88" s="13">
        <f t="shared" si="7"/>
        <v>5.75</v>
      </c>
      <c r="G88" s="8">
        <v>23</v>
      </c>
      <c r="H88" s="8">
        <v>25</v>
      </c>
      <c r="I88" s="13">
        <f t="shared" si="8"/>
        <v>75</v>
      </c>
      <c r="J88" s="8">
        <v>90</v>
      </c>
      <c r="K88" s="8">
        <v>7</v>
      </c>
      <c r="L88" s="19">
        <v>7.5</v>
      </c>
      <c r="M88" s="19">
        <v>3.8</v>
      </c>
      <c r="N88" s="12">
        <f t="shared" si="9"/>
        <v>18.913920538931343</v>
      </c>
      <c r="O88" s="12">
        <f t="shared" si="10"/>
        <v>16.833389279648895</v>
      </c>
      <c r="P88" s="24">
        <f t="shared" si="11"/>
        <v>336.6677855929779</v>
      </c>
      <c r="Q88" s="24">
        <f t="shared" si="12"/>
        <v>326.56775202518855</v>
      </c>
      <c r="R88" s="24">
        <f t="shared" si="13"/>
        <v>316.4677184573992</v>
      </c>
      <c r="S88" s="6" t="s">
        <v>7</v>
      </c>
      <c r="U88" s="12"/>
      <c r="V88" s="12"/>
      <c r="W88" s="28"/>
    </row>
    <row r="89" spans="1:23" ht="12">
      <c r="A89" s="6" t="s">
        <v>7</v>
      </c>
      <c r="B89" s="10" t="s">
        <v>134</v>
      </c>
      <c r="E89" s="8">
        <v>90</v>
      </c>
      <c r="F89" s="13">
        <f t="shared" si="7"/>
        <v>3.9</v>
      </c>
      <c r="G89" s="8">
        <v>13</v>
      </c>
      <c r="H89" s="8">
        <v>30</v>
      </c>
      <c r="I89" s="13">
        <f t="shared" si="8"/>
        <v>70</v>
      </c>
      <c r="J89" s="8">
        <v>78</v>
      </c>
      <c r="K89" s="8">
        <v>2.1</v>
      </c>
      <c r="L89" s="19">
        <v>0.2</v>
      </c>
      <c r="M89" s="19">
        <v>0.4</v>
      </c>
      <c r="N89" s="12">
        <f t="shared" si="9"/>
        <v>9.058548173463306</v>
      </c>
      <c r="O89" s="12">
        <f t="shared" si="10"/>
        <v>8.152693356116975</v>
      </c>
      <c r="P89" s="24">
        <f t="shared" si="11"/>
        <v>163.0538671223395</v>
      </c>
      <c r="Q89" s="24">
        <f t="shared" si="12"/>
        <v>158.16225110866932</v>
      </c>
      <c r="R89" s="24">
        <f t="shared" si="13"/>
        <v>153.27063509499914</v>
      </c>
      <c r="S89" s="6" t="s">
        <v>7</v>
      </c>
      <c r="U89" s="12"/>
      <c r="V89" s="12"/>
      <c r="W89" s="28"/>
    </row>
    <row r="90" spans="1:23" ht="12">
      <c r="A90" s="6" t="s">
        <v>7</v>
      </c>
      <c r="B90" s="10" t="s">
        <v>135</v>
      </c>
      <c r="E90" s="8">
        <v>91</v>
      </c>
      <c r="F90" s="13">
        <f t="shared" si="7"/>
        <v>18.990000000000002</v>
      </c>
      <c r="G90" s="8">
        <v>42.2</v>
      </c>
      <c r="H90" s="8">
        <v>45</v>
      </c>
      <c r="I90" s="13">
        <f t="shared" si="8"/>
        <v>55</v>
      </c>
      <c r="J90" s="8">
        <v>94</v>
      </c>
      <c r="K90" s="8">
        <v>20</v>
      </c>
      <c r="L90" s="19">
        <v>0.28</v>
      </c>
      <c r="M90" s="19">
        <v>0.66</v>
      </c>
      <c r="N90" s="12">
        <f t="shared" si="9"/>
        <v>25.825115390272053</v>
      </c>
      <c r="O90" s="12">
        <f t="shared" si="10"/>
        <v>23.500855005147567</v>
      </c>
      <c r="P90" s="24">
        <f t="shared" si="11"/>
        <v>470.01710010295136</v>
      </c>
      <c r="Q90" s="24">
        <f t="shared" si="12"/>
        <v>455.9165870998628</v>
      </c>
      <c r="R90" s="24">
        <f t="shared" si="13"/>
        <v>441.81607409677423</v>
      </c>
      <c r="S90" s="6" t="s">
        <v>7</v>
      </c>
      <c r="V90" s="12"/>
      <c r="W90" s="12"/>
    </row>
    <row r="91" spans="1:23" ht="12">
      <c r="A91" s="6" t="s">
        <v>7</v>
      </c>
      <c r="B91" s="10" t="s">
        <v>136</v>
      </c>
      <c r="E91" s="8">
        <v>89</v>
      </c>
      <c r="F91" s="13">
        <f t="shared" si="7"/>
        <v>8.4</v>
      </c>
      <c r="G91" s="8">
        <v>42</v>
      </c>
      <c r="H91" s="8">
        <v>20</v>
      </c>
      <c r="I91" s="13">
        <f t="shared" si="8"/>
        <v>80</v>
      </c>
      <c r="J91" s="8">
        <v>94</v>
      </c>
      <c r="K91" s="8">
        <v>18.8</v>
      </c>
      <c r="L91" s="19">
        <v>0.28</v>
      </c>
      <c r="M91" s="19">
        <v>0.66</v>
      </c>
      <c r="N91" s="12">
        <f t="shared" si="9"/>
        <v>19.993858191712192</v>
      </c>
      <c r="O91" s="12">
        <f t="shared" si="10"/>
        <v>17.79453379062385</v>
      </c>
      <c r="P91" s="24">
        <f t="shared" si="11"/>
        <v>355.89067581247696</v>
      </c>
      <c r="Q91" s="24">
        <f t="shared" si="12"/>
        <v>345.21395553810265</v>
      </c>
      <c r="R91" s="24">
        <f t="shared" si="13"/>
        <v>334.53723526372835</v>
      </c>
      <c r="S91" s="6" t="s">
        <v>7</v>
      </c>
      <c r="V91" s="12"/>
      <c r="W91" s="12"/>
    </row>
    <row r="92" spans="1:23" ht="12">
      <c r="A92" s="6" t="s">
        <v>7</v>
      </c>
      <c r="B92" s="10" t="s">
        <v>137</v>
      </c>
      <c r="E92" s="8">
        <v>89</v>
      </c>
      <c r="F92" s="13">
        <f t="shared" si="7"/>
        <v>17.150000000000002</v>
      </c>
      <c r="G92" s="8">
        <v>49</v>
      </c>
      <c r="H92" s="8">
        <v>35</v>
      </c>
      <c r="I92" s="13">
        <f t="shared" si="8"/>
        <v>65</v>
      </c>
      <c r="J92" s="8">
        <v>84</v>
      </c>
      <c r="K92" s="8">
        <v>1.5</v>
      </c>
      <c r="L92" s="19">
        <v>0.35</v>
      </c>
      <c r="M92" s="19">
        <v>0.75</v>
      </c>
      <c r="N92" s="12">
        <f t="shared" si="9"/>
        <v>18.6336103637564</v>
      </c>
      <c r="O92" s="12">
        <f t="shared" si="10"/>
        <v>16.583913223743195</v>
      </c>
      <c r="P92" s="24">
        <f t="shared" si="11"/>
        <v>331.6782644748639</v>
      </c>
      <c r="Q92" s="24">
        <f t="shared" si="12"/>
        <v>321.72791654061797</v>
      </c>
      <c r="R92" s="24">
        <f t="shared" si="13"/>
        <v>311.77756860637203</v>
      </c>
      <c r="S92" s="6" t="s">
        <v>7</v>
      </c>
      <c r="V92" s="12"/>
      <c r="W92" s="12"/>
    </row>
    <row r="93" spans="1:23" ht="12">
      <c r="A93" s="6" t="s">
        <v>7</v>
      </c>
      <c r="B93" s="10" t="s">
        <v>138</v>
      </c>
      <c r="E93" s="8">
        <v>89</v>
      </c>
      <c r="F93" s="13">
        <f t="shared" si="7"/>
        <v>29.25</v>
      </c>
      <c r="G93" s="8">
        <v>45</v>
      </c>
      <c r="H93" s="8">
        <v>65</v>
      </c>
      <c r="I93" s="13">
        <f t="shared" si="8"/>
        <v>35</v>
      </c>
      <c r="J93" s="8">
        <v>84</v>
      </c>
      <c r="K93" s="8">
        <v>5</v>
      </c>
      <c r="L93" s="19">
        <v>0.35</v>
      </c>
      <c r="M93" s="19">
        <v>0.75</v>
      </c>
      <c r="N93" s="12">
        <f t="shared" si="9"/>
        <v>25.555924899661264</v>
      </c>
      <c r="O93" s="12">
        <f t="shared" si="10"/>
        <v>22.744773160698525</v>
      </c>
      <c r="P93" s="24">
        <f t="shared" si="11"/>
        <v>454.8954632139705</v>
      </c>
      <c r="Q93" s="24">
        <f t="shared" si="12"/>
        <v>441.2485993175514</v>
      </c>
      <c r="R93" s="24">
        <f t="shared" si="13"/>
        <v>427.6017354211323</v>
      </c>
      <c r="S93" s="6" t="s">
        <v>7</v>
      </c>
      <c r="V93" s="12"/>
      <c r="W93" s="12"/>
    </row>
    <row r="94" spans="1:23" ht="12">
      <c r="A94" s="6" t="s">
        <v>7</v>
      </c>
      <c r="B94" s="10" t="s">
        <v>139</v>
      </c>
      <c r="E94" s="8">
        <v>89</v>
      </c>
      <c r="F94" s="13">
        <f t="shared" si="7"/>
        <v>18.865000000000002</v>
      </c>
      <c r="G94" s="8">
        <v>53.9</v>
      </c>
      <c r="H94" s="8">
        <v>35</v>
      </c>
      <c r="I94" s="13">
        <f t="shared" si="8"/>
        <v>65</v>
      </c>
      <c r="J94" s="8">
        <v>81</v>
      </c>
      <c r="K94" s="8">
        <v>1</v>
      </c>
      <c r="L94" s="19">
        <v>0.35</v>
      </c>
      <c r="M94" s="19">
        <v>0.75</v>
      </c>
      <c r="N94" s="12">
        <f t="shared" si="9"/>
        <v>19.322079749483724</v>
      </c>
      <c r="O94" s="12">
        <f t="shared" si="10"/>
        <v>17.196650977040516</v>
      </c>
      <c r="P94" s="24">
        <f t="shared" si="11"/>
        <v>343.93301954081034</v>
      </c>
      <c r="Q94" s="24">
        <f t="shared" si="12"/>
        <v>333.615028954586</v>
      </c>
      <c r="R94" s="24">
        <f t="shared" si="13"/>
        <v>323.2970383683617</v>
      </c>
      <c r="S94" s="6" t="s">
        <v>7</v>
      </c>
      <c r="V94" s="12"/>
      <c r="W94" s="12"/>
    </row>
    <row r="95" spans="1:22" ht="12">
      <c r="A95" s="6" t="s">
        <v>7</v>
      </c>
      <c r="B95" s="10" t="s">
        <v>140</v>
      </c>
      <c r="E95" s="8">
        <v>89.4</v>
      </c>
      <c r="F95" s="13">
        <f t="shared" si="7"/>
        <v>8.06</v>
      </c>
      <c r="G95" s="8">
        <v>31</v>
      </c>
      <c r="H95" s="8">
        <v>26</v>
      </c>
      <c r="I95" s="13">
        <f t="shared" si="8"/>
        <v>74</v>
      </c>
      <c r="J95" s="8">
        <v>59</v>
      </c>
      <c r="K95" s="8">
        <v>3.1</v>
      </c>
      <c r="L95" s="19">
        <v>0.42</v>
      </c>
      <c r="M95" s="19">
        <v>1.02</v>
      </c>
      <c r="N95" s="12">
        <f t="shared" si="9"/>
        <v>11.691042792242946</v>
      </c>
      <c r="O95" s="12">
        <f t="shared" si="10"/>
        <v>10.451792256265193</v>
      </c>
      <c r="P95" s="24">
        <f t="shared" si="11"/>
        <v>209.03584512530387</v>
      </c>
      <c r="Q95" s="24">
        <f t="shared" si="12"/>
        <v>202.76476977154474</v>
      </c>
      <c r="R95" s="24">
        <f t="shared" si="13"/>
        <v>196.49369441778563</v>
      </c>
      <c r="S95" s="6" t="s">
        <v>7</v>
      </c>
      <c r="U95" s="12"/>
      <c r="V95" s="12"/>
    </row>
    <row r="96" spans="1:19" ht="12">
      <c r="A96" s="6" t="s">
        <v>7</v>
      </c>
      <c r="B96" s="10" t="s">
        <v>141</v>
      </c>
      <c r="E96" s="8">
        <v>89.4</v>
      </c>
      <c r="F96" s="13">
        <f t="shared" si="7"/>
        <v>11.700000000000001</v>
      </c>
      <c r="G96" s="8">
        <v>45</v>
      </c>
      <c r="H96" s="8">
        <v>26</v>
      </c>
      <c r="I96" s="13">
        <f t="shared" si="8"/>
        <v>74</v>
      </c>
      <c r="J96" s="8">
        <v>67</v>
      </c>
      <c r="K96" s="8">
        <v>1.2</v>
      </c>
      <c r="L96" s="19">
        <v>0.28</v>
      </c>
      <c r="M96" s="19">
        <v>0.67</v>
      </c>
      <c r="N96" s="12">
        <f t="shared" si="9"/>
        <v>14.008585294629716</v>
      </c>
      <c r="O96" s="12">
        <f t="shared" si="10"/>
        <v>12.523675253398967</v>
      </c>
      <c r="P96" s="24">
        <f t="shared" si="11"/>
        <v>250.47350506797932</v>
      </c>
      <c r="Q96" s="24">
        <f t="shared" si="12"/>
        <v>242.95929991593994</v>
      </c>
      <c r="R96" s="24">
        <f t="shared" si="13"/>
        <v>235.44509476390056</v>
      </c>
      <c r="S96" s="6" t="s">
        <v>7</v>
      </c>
    </row>
    <row r="97" spans="1:19" ht="12">
      <c r="A97" s="6" t="s">
        <v>7</v>
      </c>
      <c r="B97" s="1" t="s">
        <v>142</v>
      </c>
      <c r="E97" s="13">
        <v>98</v>
      </c>
      <c r="F97" s="13">
        <f t="shared" si="7"/>
        <v>0</v>
      </c>
      <c r="G97" s="8">
        <v>281</v>
      </c>
      <c r="H97" s="13">
        <v>0</v>
      </c>
      <c r="I97" s="13">
        <f t="shared" si="8"/>
        <v>100</v>
      </c>
      <c r="J97" s="13">
        <v>0</v>
      </c>
      <c r="K97" s="13">
        <v>0</v>
      </c>
      <c r="L97" s="9">
        <v>0</v>
      </c>
      <c r="M97" s="9">
        <v>0</v>
      </c>
      <c r="N97" s="12">
        <f t="shared" si="9"/>
        <v>14.89951302677068</v>
      </c>
      <c r="O97" s="12">
        <f t="shared" si="10"/>
        <v>14.601522766235266</v>
      </c>
      <c r="P97" s="24">
        <f t="shared" si="11"/>
        <v>292.0304553247053</v>
      </c>
      <c r="Q97" s="24">
        <f t="shared" si="12"/>
        <v>283.26954166496415</v>
      </c>
      <c r="R97" s="24">
        <f t="shared" si="13"/>
        <v>274.508628005223</v>
      </c>
      <c r="S97" s="6" t="s">
        <v>7</v>
      </c>
    </row>
    <row r="98" spans="1:19" ht="12">
      <c r="A98" s="6" t="s">
        <v>7</v>
      </c>
      <c r="B98" s="10" t="s">
        <v>143</v>
      </c>
      <c r="E98" s="8">
        <v>89</v>
      </c>
      <c r="F98" s="13">
        <f t="shared" si="7"/>
        <v>2.5300000000000002</v>
      </c>
      <c r="G98" s="8">
        <v>11.5</v>
      </c>
      <c r="H98" s="8">
        <v>22</v>
      </c>
      <c r="I98" s="13">
        <f t="shared" si="8"/>
        <v>78</v>
      </c>
      <c r="J98" s="8">
        <v>88</v>
      </c>
      <c r="K98" s="8">
        <v>2</v>
      </c>
      <c r="L98" s="19">
        <v>0.06</v>
      </c>
      <c r="M98" s="19">
        <v>0.58</v>
      </c>
      <c r="N98" s="12">
        <f t="shared" si="9"/>
        <v>9.239900265180555</v>
      </c>
      <c r="O98" s="12">
        <f t="shared" si="10"/>
        <v>8.223511236010694</v>
      </c>
      <c r="P98" s="24">
        <f t="shared" si="11"/>
        <v>164.47022472021388</v>
      </c>
      <c r="Q98" s="24">
        <f t="shared" si="12"/>
        <v>159.53611797860745</v>
      </c>
      <c r="R98" s="24">
        <f t="shared" si="13"/>
        <v>154.60201123700102</v>
      </c>
      <c r="S98" s="6" t="s">
        <v>7</v>
      </c>
    </row>
    <row r="99" spans="1:22" ht="12">
      <c r="A99" s="6" t="s">
        <v>7</v>
      </c>
      <c r="B99" s="10" t="s">
        <v>144</v>
      </c>
      <c r="E99" s="8">
        <v>90</v>
      </c>
      <c r="F99" s="13">
        <f t="shared" si="7"/>
        <v>4.05</v>
      </c>
      <c r="G99" s="8">
        <v>16.2</v>
      </c>
      <c r="H99" s="8">
        <v>25</v>
      </c>
      <c r="I99" s="13">
        <f t="shared" si="8"/>
        <v>75</v>
      </c>
      <c r="J99" s="8">
        <v>70</v>
      </c>
      <c r="K99" s="8">
        <v>4.4</v>
      </c>
      <c r="L99" s="19">
        <v>0.13</v>
      </c>
      <c r="M99" s="19">
        <v>0.8</v>
      </c>
      <c r="N99" s="12">
        <f t="shared" si="9"/>
        <v>9.722444726696931</v>
      </c>
      <c r="O99" s="12">
        <f t="shared" si="10"/>
        <v>8.750200254027238</v>
      </c>
      <c r="P99" s="24">
        <f t="shared" si="11"/>
        <v>175.00400508054474</v>
      </c>
      <c r="Q99" s="24">
        <f t="shared" si="12"/>
        <v>169.7538849281284</v>
      </c>
      <c r="R99" s="24">
        <f t="shared" si="13"/>
        <v>164.50376477571206</v>
      </c>
      <c r="S99" s="6" t="s">
        <v>7</v>
      </c>
      <c r="T99" s="26"/>
      <c r="U99" s="12"/>
      <c r="V99" s="12"/>
    </row>
    <row r="100" spans="1:22" ht="12">
      <c r="A100" s="6" t="s">
        <v>7</v>
      </c>
      <c r="B100" s="10" t="s">
        <v>145</v>
      </c>
      <c r="E100" s="8">
        <v>90</v>
      </c>
      <c r="F100" s="13">
        <f t="shared" si="7"/>
        <v>4.5</v>
      </c>
      <c r="G100" s="8">
        <v>18</v>
      </c>
      <c r="H100" s="8">
        <v>25</v>
      </c>
      <c r="I100" s="13">
        <f t="shared" si="8"/>
        <v>75</v>
      </c>
      <c r="J100" s="8">
        <v>80</v>
      </c>
      <c r="K100" s="8">
        <v>4.9</v>
      </c>
      <c r="L100" s="19">
        <v>0.12</v>
      </c>
      <c r="M100" s="19">
        <v>1.12</v>
      </c>
      <c r="N100" s="12">
        <f t="shared" si="9"/>
        <v>11.461074270349158</v>
      </c>
      <c r="O100" s="12">
        <f t="shared" si="10"/>
        <v>10.314966843314242</v>
      </c>
      <c r="P100" s="24">
        <f t="shared" si="11"/>
        <v>206.29933686628482</v>
      </c>
      <c r="Q100" s="24">
        <f t="shared" si="12"/>
        <v>200.11035676029627</v>
      </c>
      <c r="R100" s="24">
        <f t="shared" si="13"/>
        <v>193.92137665430772</v>
      </c>
      <c r="S100" s="6" t="s">
        <v>7</v>
      </c>
      <c r="T100" s="26"/>
      <c r="U100" s="12"/>
      <c r="V100" s="12"/>
    </row>
    <row r="101" spans="1:25" ht="12">
      <c r="A101" s="6" t="s">
        <v>7</v>
      </c>
      <c r="B101" s="10" t="s">
        <v>149</v>
      </c>
      <c r="E101" s="8">
        <v>32</v>
      </c>
      <c r="F101" s="13">
        <f t="shared" si="7"/>
        <v>11</v>
      </c>
      <c r="G101" s="8">
        <v>20</v>
      </c>
      <c r="H101" s="8">
        <v>55</v>
      </c>
      <c r="I101" s="13">
        <f t="shared" si="8"/>
        <v>45</v>
      </c>
      <c r="J101" s="8">
        <v>94.6</v>
      </c>
      <c r="K101" s="8">
        <v>15</v>
      </c>
      <c r="L101" s="19">
        <v>0.2</v>
      </c>
      <c r="M101" s="19">
        <v>1.6</v>
      </c>
      <c r="N101" s="12">
        <f t="shared" si="9"/>
        <v>20.129256373095135</v>
      </c>
      <c r="O101" s="12">
        <f t="shared" si="10"/>
        <v>6.441362039390444</v>
      </c>
      <c r="P101" s="24">
        <f t="shared" si="11"/>
        <v>128.82724078780888</v>
      </c>
      <c r="Q101" s="24">
        <f t="shared" si="12"/>
        <v>124.9624235641746</v>
      </c>
      <c r="R101" s="24">
        <f t="shared" si="13"/>
        <v>121.09760634054034</v>
      </c>
      <c r="S101" s="6" t="s">
        <v>7</v>
      </c>
      <c r="U101" s="12"/>
      <c r="V101" s="12"/>
      <c r="X101" s="12"/>
      <c r="Y101" s="28"/>
    </row>
    <row r="102" spans="1:22" ht="12">
      <c r="A102" s="6" t="s">
        <v>7</v>
      </c>
      <c r="B102" s="10" t="s">
        <v>148</v>
      </c>
      <c r="E102" s="8">
        <v>24</v>
      </c>
      <c r="F102" s="13">
        <f t="shared" si="7"/>
        <v>0.17800000000000002</v>
      </c>
      <c r="G102" s="8">
        <v>3.56</v>
      </c>
      <c r="H102" s="8">
        <v>5</v>
      </c>
      <c r="I102" s="13">
        <v>95</v>
      </c>
      <c r="J102" s="8">
        <v>89</v>
      </c>
      <c r="K102" s="8">
        <v>0.13</v>
      </c>
      <c r="L102" s="19">
        <v>0.57</v>
      </c>
      <c r="M102" s="19">
        <v>0.7</v>
      </c>
      <c r="N102" s="12">
        <f t="shared" si="9"/>
        <v>7.022283470383918</v>
      </c>
      <c r="O102" s="12">
        <f t="shared" si="10"/>
        <v>1.6853480328921404</v>
      </c>
      <c r="P102" s="24">
        <f t="shared" si="11"/>
        <v>33.70696065784281</v>
      </c>
      <c r="Q102" s="24">
        <f t="shared" si="12"/>
        <v>32.69575183810752</v>
      </c>
      <c r="R102" s="24">
        <f t="shared" si="13"/>
        <v>31.684543018372235</v>
      </c>
      <c r="S102" s="6" t="s">
        <v>7</v>
      </c>
      <c r="U102" s="12"/>
      <c r="V102" s="12"/>
    </row>
    <row r="103" spans="1:19" ht="12">
      <c r="A103" s="6" t="s">
        <v>7</v>
      </c>
      <c r="B103" s="10" t="s">
        <v>146</v>
      </c>
      <c r="E103" s="8">
        <v>88</v>
      </c>
      <c r="F103" s="13">
        <f t="shared" si="7"/>
        <v>5.488636363636364</v>
      </c>
      <c r="G103" s="8">
        <f>21/0.88</f>
        <v>23.863636363636363</v>
      </c>
      <c r="H103" s="8">
        <v>23</v>
      </c>
      <c r="I103" s="13">
        <f t="shared" si="8"/>
        <v>77</v>
      </c>
      <c r="J103" s="8">
        <v>95</v>
      </c>
      <c r="K103" s="8">
        <v>13</v>
      </c>
      <c r="L103" s="19">
        <f>1.3/0.88</f>
        <v>1.4772727272727273</v>
      </c>
      <c r="M103" s="19">
        <f>0.45/0.88</f>
        <v>0.5113636363636364</v>
      </c>
      <c r="N103" s="12">
        <f t="shared" si="9"/>
        <v>15.578223470397658</v>
      </c>
      <c r="O103" s="12">
        <f t="shared" si="10"/>
        <v>13.708836653949938</v>
      </c>
      <c r="P103" s="24">
        <f t="shared" si="11"/>
        <v>274.1767330789987</v>
      </c>
      <c r="Q103" s="24">
        <f t="shared" si="12"/>
        <v>265.95143108662876</v>
      </c>
      <c r="R103" s="24">
        <f t="shared" si="13"/>
        <v>257.7261290942588</v>
      </c>
      <c r="S103" s="6" t="s">
        <v>7</v>
      </c>
    </row>
    <row r="104" spans="1:25" ht="12">
      <c r="A104" s="6" t="s">
        <v>19</v>
      </c>
      <c r="B104" s="7" t="s">
        <v>20</v>
      </c>
      <c r="C104" s="7" t="s">
        <v>20</v>
      </c>
      <c r="D104" s="7" t="s">
        <v>20</v>
      </c>
      <c r="E104" s="7" t="s">
        <v>20</v>
      </c>
      <c r="F104" s="7" t="s">
        <v>20</v>
      </c>
      <c r="G104" s="7" t="s">
        <v>20</v>
      </c>
      <c r="H104" s="7" t="s">
        <v>20</v>
      </c>
      <c r="I104" s="7" t="s">
        <v>20</v>
      </c>
      <c r="J104" s="7" t="s">
        <v>20</v>
      </c>
      <c r="K104" s="7" t="s">
        <v>20</v>
      </c>
      <c r="L104" s="7" t="s">
        <v>20</v>
      </c>
      <c r="M104" s="7" t="s">
        <v>20</v>
      </c>
      <c r="N104" s="7" t="s">
        <v>20</v>
      </c>
      <c r="O104" s="7" t="s">
        <v>20</v>
      </c>
      <c r="P104" s="7" t="s">
        <v>20</v>
      </c>
      <c r="Q104" s="7" t="s">
        <v>20</v>
      </c>
      <c r="R104" s="7" t="s">
        <v>20</v>
      </c>
      <c r="S104" s="6" t="s">
        <v>7</v>
      </c>
      <c r="V104" s="17">
        <f>$E$29</f>
        <v>0.17006802721088435</v>
      </c>
      <c r="X104" s="12"/>
      <c r="Y104" s="28"/>
    </row>
    <row r="105" ht="12">
      <c r="E105" s="12"/>
    </row>
    <row r="106" ht="12">
      <c r="E106" s="12"/>
    </row>
    <row r="107" ht="12">
      <c r="E107" s="12"/>
    </row>
    <row r="108" ht="12">
      <c r="E108" s="12"/>
    </row>
    <row r="109" ht="12">
      <c r="E109" s="12"/>
    </row>
    <row r="110" ht="12">
      <c r="E110" s="12"/>
    </row>
  </sheetData>
  <sheetProtection/>
  <printOptions/>
  <pageMargins left="0.25" right="0.25" top="0.27" bottom="0.28" header="0.23" footer="0.2"/>
  <pageSetup horizontalDpi="600" verticalDpi="600" orientation="portrait" scale="6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Hillmer</dc:creator>
  <cp:keywords/>
  <dc:description/>
  <cp:lastModifiedBy>Terry H. Hampton</cp:lastModifiedBy>
  <cp:lastPrinted>2008-01-29T18:03:58Z</cp:lastPrinted>
  <dcterms:created xsi:type="dcterms:W3CDTF">1999-03-16T13:45:34Z</dcterms:created>
  <dcterms:modified xsi:type="dcterms:W3CDTF">2011-01-05T16:03:41Z</dcterms:modified>
  <cp:category/>
  <cp:version/>
  <cp:contentType/>
  <cp:contentStatus/>
</cp:coreProperties>
</file>