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835" tabRatio="243" activeTab="0"/>
  </bookViews>
  <sheets>
    <sheet name="Instructions" sheetId="1" r:id="rId1"/>
    <sheet name="Forecast" sheetId="2" r:id="rId2"/>
    <sheet name="Risk" sheetId="3" r:id="rId3"/>
    <sheet name="Hedge" sheetId="4" r:id="rId4"/>
    <sheet name="Check" sheetId="5" r:id="rId5"/>
    <sheet name="Data" sheetId="6" r:id="rId6"/>
    <sheet name="Risk Comparison" sheetId="7" r:id="rId7"/>
  </sheets>
  <definedNames/>
  <calcPr fullCalcOnLoad="1"/>
</workbook>
</file>

<file path=xl/sharedStrings.xml><?xml version="1.0" encoding="utf-8"?>
<sst xmlns="http://schemas.openxmlformats.org/spreadsheetml/2006/main" count="510" uniqueCount="250">
  <si>
    <t>Average Number of Cows</t>
  </si>
  <si>
    <t>Average Daily Production (Lbs.)</t>
  </si>
  <si>
    <t>Date</t>
  </si>
  <si>
    <t>January-03</t>
  </si>
  <si>
    <t>February-03</t>
  </si>
  <si>
    <t>March-03</t>
  </si>
  <si>
    <t>April-03</t>
  </si>
  <si>
    <t>May-03</t>
  </si>
  <si>
    <t>June-03</t>
  </si>
  <si>
    <t>July-03</t>
  </si>
  <si>
    <t>August-03</t>
  </si>
  <si>
    <t>September-03</t>
  </si>
  <si>
    <t>October-03</t>
  </si>
  <si>
    <t>November-03</t>
  </si>
  <si>
    <t>December-03</t>
  </si>
  <si>
    <t>January-04</t>
  </si>
  <si>
    <t>February-04</t>
  </si>
  <si>
    <t>Production</t>
  </si>
  <si>
    <t>Composition</t>
  </si>
  <si>
    <t>Fat %</t>
  </si>
  <si>
    <t>Protein %</t>
  </si>
  <si>
    <t>Other Solids %</t>
  </si>
  <si>
    <t>Somatic Cell Count</t>
  </si>
  <si>
    <t>Butterfat</t>
  </si>
  <si>
    <t>Protein</t>
  </si>
  <si>
    <t>Other Solids</t>
  </si>
  <si>
    <t>Total Milk</t>
  </si>
  <si>
    <t>lbs.</t>
  </si>
  <si>
    <t>Rate</t>
  </si>
  <si>
    <t>Price</t>
  </si>
  <si>
    <t>Total</t>
  </si>
  <si>
    <t>Producer Price Differential</t>
  </si>
  <si>
    <t>Somatic Cell Adjustment</t>
  </si>
  <si>
    <t>Other Premiums</t>
  </si>
  <si>
    <t>Federal Milk Promotion</t>
  </si>
  <si>
    <t>cwt.</t>
  </si>
  <si>
    <t>Coop Fees</t>
  </si>
  <si>
    <t>Other Fees</t>
  </si>
  <si>
    <t>Class III Instruments</t>
  </si>
  <si>
    <t xml:space="preserve">  Futures Sold</t>
  </si>
  <si>
    <t xml:space="preserve">  Futures Baught</t>
  </si>
  <si>
    <t xml:space="preserve">  Calls Baught</t>
  </si>
  <si>
    <t xml:space="preserve">  Calls Sold</t>
  </si>
  <si>
    <t xml:space="preserve">  Puts Sold</t>
  </si>
  <si>
    <t xml:space="preserve">  Puts Baught</t>
  </si>
  <si>
    <t>Class IV Instruments</t>
  </si>
  <si>
    <t>#</t>
  </si>
  <si>
    <t>Milk Check Amount</t>
  </si>
  <si>
    <t>Heging Gain/Loss</t>
  </si>
  <si>
    <t xml:space="preserve"> </t>
  </si>
  <si>
    <t xml:space="preserve"> Total Component Value</t>
  </si>
  <si>
    <t>Marketed Milk Value</t>
  </si>
  <si>
    <t>$/cwt.</t>
  </si>
  <si>
    <t>Most Likely</t>
  </si>
  <si>
    <t xml:space="preserve">  Monthly Production (cwt.)</t>
  </si>
  <si>
    <t xml:space="preserve">Select Forecast Date </t>
  </si>
  <si>
    <t>Butter Price</t>
  </si>
  <si>
    <t>Cheese Price</t>
  </si>
  <si>
    <t>Whey Price</t>
  </si>
  <si>
    <t>Non-Fat Dry Milk Price</t>
  </si>
  <si>
    <t>NASS Declared Market Prices</t>
  </si>
  <si>
    <t>Select check forecast</t>
  </si>
  <si>
    <t>Best Case</t>
  </si>
  <si>
    <t>Worst Case</t>
  </si>
  <si>
    <t xml:space="preserve">  </t>
  </si>
  <si>
    <t>Total Milk Value</t>
  </si>
  <si>
    <t>Commponet values</t>
  </si>
  <si>
    <t>NASS Component Prices</t>
  </si>
  <si>
    <t xml:space="preserve">Butterfat </t>
  </si>
  <si>
    <t>Non Fat Solids</t>
  </si>
  <si>
    <t>NASS Class Prices</t>
  </si>
  <si>
    <t>Class III Skim Milk</t>
  </si>
  <si>
    <t>Class III</t>
  </si>
  <si>
    <t>Class IV Skim</t>
  </si>
  <si>
    <t>Class IV</t>
  </si>
  <si>
    <t>Advanced NF Solids</t>
  </si>
  <si>
    <t>Two-Week Advance NFDM Price</t>
  </si>
  <si>
    <t>Class II Skim</t>
  </si>
  <si>
    <t>Class II</t>
  </si>
  <si>
    <t>Class II Non-Fat Solids</t>
  </si>
  <si>
    <t>Class II Butterfat</t>
  </si>
  <si>
    <t>Advanced Butterfat</t>
  </si>
  <si>
    <t>Two-Week Advance Butter Price</t>
  </si>
  <si>
    <t>Two-Week Advance Cheese Price</t>
  </si>
  <si>
    <t>Two-Week Advance Whey Price</t>
  </si>
  <si>
    <t>Advanced Protein</t>
  </si>
  <si>
    <t>Advanced Other Solids</t>
  </si>
  <si>
    <t>Advanced III Skim</t>
  </si>
  <si>
    <t>Advanced IV Skim</t>
  </si>
  <si>
    <t>NASS Advance Market Prices</t>
  </si>
  <si>
    <t>Class I Skim</t>
  </si>
  <si>
    <t>Class I Butterfat</t>
  </si>
  <si>
    <t xml:space="preserve">Class I </t>
  </si>
  <si>
    <t>Class I Differential</t>
  </si>
  <si>
    <t>Average Target Price</t>
  </si>
  <si>
    <t>Class I</t>
  </si>
  <si>
    <t>Region Utilization</t>
  </si>
  <si>
    <t>Northeast</t>
  </si>
  <si>
    <t>Appalachian</t>
  </si>
  <si>
    <t>Southeast</t>
  </si>
  <si>
    <t>Florida</t>
  </si>
  <si>
    <t>Mideast</t>
  </si>
  <si>
    <t>Upper Midwest</t>
  </si>
  <si>
    <t>Central</t>
  </si>
  <si>
    <t>Southwest</t>
  </si>
  <si>
    <t>Western</t>
  </si>
  <si>
    <t>Pacific NW</t>
  </si>
  <si>
    <t>Arizona-Las Vegas</t>
  </si>
  <si>
    <t>Region</t>
  </si>
  <si>
    <t>2000 Utilizations</t>
  </si>
  <si>
    <t>Class I use (%)</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</si>
  <si>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</si>
  <si>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</si>
  <si>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</si>
  <si>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</si>
  <si>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</si>
  <si>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</si>
  <si>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</si>
  <si>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</si>
  <si>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</si>
  <si>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</si>
  <si>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</si>
  <si>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</si>
  <si>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Class II use (%)</t>
  </si>
  <si>
    <t>Class III use (%)</t>
  </si>
  <si>
    <t>Class Iv use (%)</t>
  </si>
  <si>
    <t>Select Forecast Region</t>
  </si>
  <si>
    <t>January</t>
  </si>
  <si>
    <t>Februaru</t>
  </si>
  <si>
    <t>March</t>
  </si>
  <si>
    <t>April</t>
  </si>
  <si>
    <t>May</t>
  </si>
  <si>
    <t>June</t>
  </si>
  <si>
    <t>July</t>
  </si>
  <si>
    <t>August</t>
  </si>
  <si>
    <t>September</t>
  </si>
  <si>
    <t>October</t>
  </si>
  <si>
    <t>November</t>
  </si>
  <si>
    <t>December</t>
  </si>
  <si>
    <t>Boston</t>
  </si>
  <si>
    <t>Charlotte</t>
  </si>
  <si>
    <t>Atlanta</t>
  </si>
  <si>
    <t>Tampa</t>
  </si>
  <si>
    <t>Cleveland</t>
  </si>
  <si>
    <t>Chicago</t>
  </si>
  <si>
    <t>Kansas City</t>
  </si>
  <si>
    <t>Dallas</t>
  </si>
  <si>
    <t>Phoenix</t>
  </si>
  <si>
    <t>Salt Lake City</t>
  </si>
  <si>
    <t>Seattle</t>
  </si>
  <si>
    <t>Assumed Class Prices for 3.5% Butterfat and User Entered Differential</t>
  </si>
  <si>
    <t>Assumed Producer Price Differential</t>
  </si>
  <si>
    <t>Total Risk</t>
  </si>
  <si>
    <t>Class Utilization</t>
  </si>
  <si>
    <t>Price Changes - Best Case</t>
  </si>
  <si>
    <t>Price Changes - Worst Case</t>
  </si>
  <si>
    <t>Check Price</t>
  </si>
  <si>
    <t>green = linked to cells on this sheet</t>
  </si>
  <si>
    <t>yellow = linked to price in forecast</t>
  </si>
  <si>
    <t>Risk Analysis - Impact of Risk as it Varies From Worst to Best Case Scenario Holding Other Variables at Most Likely Level</t>
  </si>
  <si>
    <t>Value</t>
  </si>
  <si>
    <t>yellow = unaffected by fututres prices</t>
  </si>
  <si>
    <t>Best case option values</t>
  </si>
  <si>
    <t>Worst Case Option Values</t>
  </si>
  <si>
    <t>Hedged Best Case Check</t>
  </si>
  <si>
    <t>Hedged Worst Case Check</t>
  </si>
  <si>
    <t>min</t>
  </si>
  <si>
    <t>max</t>
  </si>
  <si>
    <t>November-09</t>
  </si>
  <si>
    <t>June-09</t>
  </si>
  <si>
    <t>March-04</t>
  </si>
  <si>
    <t>April-04</t>
  </si>
  <si>
    <t>May-04</t>
  </si>
  <si>
    <t>June-04</t>
  </si>
  <si>
    <t>July-04</t>
  </si>
  <si>
    <t>August-04</t>
  </si>
  <si>
    <t>September-04</t>
  </si>
  <si>
    <t>October-04</t>
  </si>
  <si>
    <t>November-04</t>
  </si>
  <si>
    <t>December-04</t>
  </si>
  <si>
    <t>January-05</t>
  </si>
  <si>
    <t>February-05</t>
  </si>
  <si>
    <t>March-05</t>
  </si>
  <si>
    <t>April-05</t>
  </si>
  <si>
    <t>May-05</t>
  </si>
  <si>
    <t>June-05</t>
  </si>
  <si>
    <t>July-05</t>
  </si>
  <si>
    <t>August-05</t>
  </si>
  <si>
    <t>September-05</t>
  </si>
  <si>
    <t>October-05</t>
  </si>
  <si>
    <t>November-05</t>
  </si>
  <si>
    <t>December-05</t>
  </si>
  <si>
    <t>January-06</t>
  </si>
  <si>
    <t>February-06</t>
  </si>
  <si>
    <t>March-06</t>
  </si>
  <si>
    <t>April-06</t>
  </si>
  <si>
    <t>May-06</t>
  </si>
  <si>
    <t>June-06</t>
  </si>
  <si>
    <t>July-06</t>
  </si>
  <si>
    <t>August-06</t>
  </si>
  <si>
    <t>September-06</t>
  </si>
  <si>
    <t>October-06</t>
  </si>
  <si>
    <t>November-06</t>
  </si>
  <si>
    <t>December-06</t>
  </si>
  <si>
    <t>January-07</t>
  </si>
  <si>
    <t>February-07</t>
  </si>
  <si>
    <t>March-07</t>
  </si>
  <si>
    <t>April-07</t>
  </si>
  <si>
    <t>May-07</t>
  </si>
  <si>
    <t>June-07</t>
  </si>
  <si>
    <t>July-07</t>
  </si>
  <si>
    <t>August-07</t>
  </si>
  <si>
    <t>September-07</t>
  </si>
  <si>
    <t>October-07</t>
  </si>
  <si>
    <t>November-07</t>
  </si>
  <si>
    <t>December-07</t>
  </si>
  <si>
    <t>January-08</t>
  </si>
  <si>
    <t>February-08</t>
  </si>
  <si>
    <t>March-08</t>
  </si>
  <si>
    <t>April-08</t>
  </si>
  <si>
    <t>May-08</t>
  </si>
  <si>
    <t>June-08</t>
  </si>
  <si>
    <t>July-08</t>
  </si>
  <si>
    <t>August-08</t>
  </si>
  <si>
    <t>September-08</t>
  </si>
  <si>
    <t>October-08</t>
  </si>
  <si>
    <t>November-08</t>
  </si>
  <si>
    <t>December-08</t>
  </si>
  <si>
    <t>January-09</t>
  </si>
  <si>
    <t>February-09</t>
  </si>
  <si>
    <t>March-09</t>
  </si>
  <si>
    <t>April-09</t>
  </si>
  <si>
    <t>May-09</t>
  </si>
  <si>
    <t>July-09</t>
  </si>
  <si>
    <t>August-09</t>
  </si>
  <si>
    <t>September-09</t>
  </si>
  <si>
    <t>October-09</t>
  </si>
  <si>
    <t>December-09</t>
  </si>
  <si>
    <t>Support Price Minimums</t>
  </si>
  <si>
    <t>None</t>
  </si>
  <si>
    <t>*</t>
  </si>
  <si>
    <t>Unhedged</t>
  </si>
  <si>
    <t>Hedged</t>
  </si>
  <si>
    <t>Risk Analysis - What your check will be as a given variable changes and all others remain constant</t>
  </si>
  <si>
    <t>= 4.2 x Butter Price + 8.6 x NFDM Price - 1.69</t>
  </si>
  <si>
    <t>= .42 x Butter Price + 9.64 x Cheese Price + 5.86 x Whey Price - 2.57</t>
  </si>
  <si>
    <t>Reported Mailbox</t>
  </si>
  <si>
    <t>Premium and Broker Fee</t>
  </si>
  <si>
    <t xml:space="preserve">Quantity </t>
  </si>
  <si>
    <t>February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</si>
</sst>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
    <numFmt numFmtId="165" formatCode="_(* #,##0.0_);_(* \(#,##0.0\);_(* &quot;-&quot;??_);_(@_)"/>
    <numFmt numFmtId="166" formatCode="_(* #,##0_);_(* \(#,##0\);_(* &quot;-&quot;??_);_(@_)"/>
    <numFmt numFmtId="167" formatCode="0.0%"/>
    <numFmt numFmtId="168" formatCode="0.000%"/>
    <numFmt numFmtId="169" formatCode="_(* #,##0.0_);_(* \(#,##0.0\);_(* &quot;-&quot;?_);_(@_)"/>
    <numFmt numFmtId="170" formatCode="_(&quot;$&quot;* #,##0.000_);_(&quot;$&quot;* \(#,##0.000\);_(&quot;$&quot;* &quot;-&quot;??_);_(@_)"/>
    <numFmt numFmtId="171" formatCode="_(&quot;$&quot;* #,##0.0000_);_(&quot;$&quot;* \(#,##0.0000\);_(&quot;$&quot;* &quot;-&quot;??_);_(@_)"/>
    <numFmt numFmtId="172" formatCode="_(* #,##0.0000_);_(* \(#,##0.0000\);_(* &quot;-&quot;????_);_(@_)"/>
    <numFmt numFmtId="173" formatCode="_(&quot;$&quot;* #,##0.000_);_(&quot;$&quot;* \(#,##0.000\);_(&quot;$&quot;* &quot;-&quot;???_);_(@_)"/>
    <numFmt numFmtId="174" formatCode="_(&quot;$&quot;* #,##0.0000_);_(&quot;$&quot;* \(#,##0.0000\);_(&quot;$&quot;* &quot;-&quot;????_);_(@_)"/>
    <numFmt numFmtId="175" formatCode="_(&quot;$&quot;* #,##0.0_);_(&quot;$&quot;* \(#,##0.0\);_(&quot;$&quot;* &quot;-&quot;??_);_(@_)"/>
    <numFmt numFmtId="176" formatCode="_(&quot;$&quot;* #,##0_);_(&quot;$&quot;* \(#,##0\);_(&quot;$&quot;* &quot;-&quot;??_);_(@_)"/>
    <numFmt numFmtId="177" formatCode="&quot;$&quot;#,##0"/>
    <numFmt numFmtId="178" formatCode="_(&quot;$&quot;* #,##0.00000000_);_(&quot;$&quot;* \(#,##0.00000000\);_(&quot;$&quot;* &quot;-&quot;????????_);_(@_)"/>
    <numFmt numFmtId="179" formatCode="0.0"/>
    <numFmt numFmtId="180" formatCode="mmm"/>
    <numFmt numFmtId="181" formatCode="[$-409]dddd\,\ mmmm\ dd\,\ yyyy"/>
    <numFmt numFmtId="182" formatCode="[$-409]mmmmm;@"/>
    <numFmt numFmtId="183" formatCode="mmmm"/>
    <numFmt numFmtId="184" formatCode="mm/dd/yy;@"/>
    <numFmt numFmtId="185" formatCode="mmmmm"/>
  </numFmts>
  <fonts count="9">
    <font>
      <sz val="10"/>
      <name val="Arial"/>
      <family val="0"/>
    </font>
    <font>
      <sz val="10"/>
      <color indexed="12"/>
      <name val="Arial"/>
      <family val="2"/>
    </font>
    <font>
      <u val="single"/>
      <sz val="10"/>
      <color indexed="12"/>
      <name val="Arial"/>
      <family val="0"/>
    </font>
    <font>
      <u val="single"/>
      <sz val="10"/>
      <color indexed="36"/>
      <name val="Arial"/>
      <family val="0"/>
    </font>
    <font>
      <b/>
      <sz val="10"/>
      <name val="Arial"/>
      <family val="2"/>
    </font>
    <font>
      <sz val="9"/>
      <name val="Arial"/>
      <family val="2"/>
    </font>
    <font>
      <b/>
      <sz val="9"/>
      <name val="Arial"/>
      <family val="2"/>
    </font>
    <font>
      <sz val="8"/>
      <name val="Arial"/>
      <family val="0"/>
    </font>
    <font>
      <b/>
      <sz val="12"/>
      <name val="Arial"/>
      <family val="2"/>
    </font>
  </fonts>
  <fills count="8">
    <fill>
      <patternFill/>
    </fill>
    <fill>
      <patternFill patternType="gray125"/>
    </fill>
    <fill>
      <patternFill patternType="solid">
        <fgColor indexed="65"/>
        <bgColor indexed="64"/>
      </patternFill>
    </fill>
    <fill>
      <patternFill patternType="solid">
        <fgColor indexed="13"/>
        <bgColor indexed="64"/>
      </patternFill>
    </fill>
    <fill>
      <patternFill patternType="solid">
        <fgColor indexed="11"/>
        <bgColor indexed="64"/>
      </patternFill>
    </fill>
    <fill>
      <patternFill patternType="solid">
        <fgColor indexed="53"/>
        <bgColor indexed="64"/>
      </patternFill>
    </fill>
    <fill>
      <patternFill patternType="solid">
        <fgColor indexed="10"/>
        <bgColor indexed="64"/>
      </patternFill>
    </fill>
    <fill>
      <patternFill patternType="solid">
        <fgColor indexed="41"/>
        <bgColor indexed="64"/>
      </patternFill>
    </fill>
  </fills>
  <borders count="1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15">
    <xf numFmtId="0" fontId="0" fillId="0" borderId="0" xfId="0" applyAlignment="1">
      <alignment/>
    </xf>
    <xf numFmtId="0" fontId="1" fillId="0" borderId="1" xfId="0" applyFont="1" applyBorder="1" applyAlignment="1">
      <alignment/>
    </xf>
    <xf numFmtId="0" fontId="1" fillId="0" borderId="0" xfId="0" applyFont="1" applyBorder="1" applyAlignment="1">
      <alignment/>
    </xf>
    <xf numFmtId="14" fontId="0" fillId="0" borderId="0" xfId="0" applyNumberFormat="1" applyAlignment="1">
      <alignment/>
    </xf>
    <xf numFmtId="16" fontId="0" fillId="0" borderId="0" xfId="0" applyNumberFormat="1" applyAlignment="1">
      <alignment horizontal="right"/>
    </xf>
    <xf numFmtId="166" fontId="0" fillId="0" borderId="0" xfId="15" applyNumberFormat="1" applyAlignment="1">
      <alignment/>
    </xf>
    <xf numFmtId="0" fontId="4" fillId="0" borderId="0" xfId="0" applyFont="1" applyAlignment="1">
      <alignment/>
    </xf>
    <xf numFmtId="0" fontId="1" fillId="0" borderId="0" xfId="0" applyFont="1" applyAlignment="1">
      <alignment/>
    </xf>
    <xf numFmtId="167" fontId="1" fillId="0" borderId="0" xfId="22" applyNumberFormat="1" applyFont="1" applyAlignment="1">
      <alignment/>
    </xf>
    <xf numFmtId="0" fontId="0" fillId="0" borderId="0" xfId="0" applyAlignment="1">
      <alignment horizontal="right"/>
    </xf>
    <xf numFmtId="0" fontId="4" fillId="0" borderId="0" xfId="0" applyFont="1" applyBorder="1" applyAlignment="1">
      <alignment/>
    </xf>
    <xf numFmtId="0" fontId="0" fillId="0" borderId="0" xfId="0" applyBorder="1" applyAlignment="1">
      <alignment/>
    </xf>
    <xf numFmtId="0" fontId="4" fillId="0" borderId="0" xfId="0" applyFont="1" applyBorder="1" applyAlignment="1">
      <alignment horizontal="right"/>
    </xf>
    <xf numFmtId="44" fontId="1" fillId="0" borderId="0" xfId="17" applyFont="1" applyAlignment="1">
      <alignment/>
    </xf>
    <xf numFmtId="166" fontId="1" fillId="0" borderId="0" xfId="15" applyNumberFormat="1" applyFont="1" applyAlignment="1">
      <alignment/>
    </xf>
    <xf numFmtId="166" fontId="0" fillId="0" borderId="0" xfId="15" applyNumberFormat="1" applyBorder="1" applyAlignment="1">
      <alignment/>
    </xf>
    <xf numFmtId="44" fontId="0" fillId="0" borderId="0" xfId="17" applyBorder="1" applyAlignment="1">
      <alignment/>
    </xf>
    <xf numFmtId="44" fontId="0" fillId="0" borderId="0" xfId="17" applyAlignment="1">
      <alignment/>
    </xf>
    <xf numFmtId="166" fontId="0" fillId="0" borderId="0" xfId="15" applyNumberFormat="1" applyAlignment="1">
      <alignment/>
    </xf>
    <xf numFmtId="0" fontId="4" fillId="2" borderId="2" xfId="0" applyFont="1" applyFill="1" applyBorder="1" applyAlignment="1">
      <alignment/>
    </xf>
    <xf numFmtId="0" fontId="4" fillId="2" borderId="3" xfId="0" applyFont="1" applyFill="1" applyBorder="1" applyAlignment="1">
      <alignment/>
    </xf>
    <xf numFmtId="0" fontId="0" fillId="2" borderId="3" xfId="0" applyFill="1" applyBorder="1" applyAlignment="1">
      <alignment/>
    </xf>
    <xf numFmtId="44" fontId="0" fillId="2" borderId="3" xfId="17" applyFill="1" applyBorder="1" applyAlignment="1">
      <alignment/>
    </xf>
    <xf numFmtId="0" fontId="0" fillId="2" borderId="4" xfId="0" applyFill="1" applyBorder="1" applyAlignment="1">
      <alignment/>
    </xf>
    <xf numFmtId="0" fontId="0" fillId="2" borderId="0" xfId="0" applyFill="1" applyAlignment="1">
      <alignment/>
    </xf>
    <xf numFmtId="0" fontId="4" fillId="2" borderId="5" xfId="0" applyFont="1" applyFill="1" applyBorder="1" applyAlignment="1">
      <alignment/>
    </xf>
    <xf numFmtId="0" fontId="4" fillId="2" borderId="0" xfId="0" applyFont="1" applyFill="1" applyBorder="1" applyAlignment="1">
      <alignment/>
    </xf>
    <xf numFmtId="0" fontId="0" fillId="2" borderId="0" xfId="0" applyFill="1" applyBorder="1" applyAlignment="1">
      <alignment/>
    </xf>
    <xf numFmtId="44" fontId="0" fillId="2" borderId="0" xfId="17" applyFill="1" applyBorder="1" applyAlignment="1">
      <alignment/>
    </xf>
    <xf numFmtId="0" fontId="0" fillId="2" borderId="6" xfId="0" applyFill="1" applyBorder="1" applyAlignment="1">
      <alignment/>
    </xf>
    <xf numFmtId="0" fontId="0" fillId="2" borderId="5" xfId="0" applyFill="1" applyBorder="1" applyAlignment="1">
      <alignment/>
    </xf>
    <xf numFmtId="0" fontId="4" fillId="2" borderId="0" xfId="0" applyFont="1" applyFill="1" applyBorder="1" applyAlignment="1">
      <alignment horizontal="right"/>
    </xf>
    <xf numFmtId="44" fontId="4" fillId="2" borderId="0" xfId="17" applyFont="1" applyFill="1" applyBorder="1" applyAlignment="1">
      <alignment horizontal="right"/>
    </xf>
    <xf numFmtId="0" fontId="4" fillId="2" borderId="6" xfId="0" applyFont="1" applyFill="1" applyBorder="1" applyAlignment="1">
      <alignment horizontal="right"/>
    </xf>
    <xf numFmtId="166" fontId="0" fillId="2" borderId="0" xfId="15" applyNumberFormat="1" applyFill="1" applyBorder="1" applyAlignment="1">
      <alignment/>
    </xf>
    <xf numFmtId="0" fontId="0" fillId="2" borderId="0" xfId="0" applyFill="1" applyBorder="1" applyAlignment="1">
      <alignment horizontal="right"/>
    </xf>
    <xf numFmtId="44" fontId="0" fillId="2" borderId="6" xfId="17" applyFill="1" applyBorder="1" applyAlignment="1">
      <alignment/>
    </xf>
    <xf numFmtId="44" fontId="0" fillId="2" borderId="1" xfId="17" applyFill="1" applyBorder="1" applyAlignment="1">
      <alignment/>
    </xf>
    <xf numFmtId="44" fontId="0" fillId="2" borderId="7" xfId="17" applyFill="1" applyBorder="1" applyAlignment="1">
      <alignment/>
    </xf>
    <xf numFmtId="0" fontId="4" fillId="2" borderId="8" xfId="0" applyFont="1" applyFill="1" applyBorder="1" applyAlignment="1">
      <alignment/>
    </xf>
    <xf numFmtId="0" fontId="0" fillId="2" borderId="1" xfId="0" applyFill="1" applyBorder="1" applyAlignment="1">
      <alignment/>
    </xf>
    <xf numFmtId="0" fontId="0" fillId="2" borderId="9" xfId="0" applyFill="1" applyBorder="1" applyAlignment="1">
      <alignment/>
    </xf>
    <xf numFmtId="0" fontId="4" fillId="2" borderId="0" xfId="0" applyFont="1" applyFill="1" applyAlignment="1">
      <alignment/>
    </xf>
    <xf numFmtId="0" fontId="0" fillId="2" borderId="0" xfId="0" applyFill="1" applyAlignment="1">
      <alignment horizontal="right"/>
    </xf>
    <xf numFmtId="0" fontId="0" fillId="2" borderId="0" xfId="0" applyFill="1" applyAlignment="1">
      <alignment horizontal="left"/>
    </xf>
    <xf numFmtId="44" fontId="0" fillId="2" borderId="0" xfId="17" applyFill="1" applyAlignment="1">
      <alignment/>
    </xf>
    <xf numFmtId="166" fontId="1" fillId="2" borderId="0" xfId="15" applyNumberFormat="1" applyFont="1" applyFill="1" applyAlignment="1">
      <alignment/>
    </xf>
    <xf numFmtId="0" fontId="1" fillId="2" borderId="0" xfId="0" applyFont="1" applyFill="1" applyAlignment="1">
      <alignment/>
    </xf>
    <xf numFmtId="44" fontId="1" fillId="2" borderId="0" xfId="17" applyFont="1" applyFill="1" applyAlignment="1">
      <alignment/>
    </xf>
    <xf numFmtId="166" fontId="0" fillId="2" borderId="0" xfId="15" applyNumberFormat="1" applyFill="1" applyAlignment="1">
      <alignment/>
    </xf>
    <xf numFmtId="44" fontId="1" fillId="2" borderId="0" xfId="17" applyFont="1" applyFill="1" applyBorder="1" applyAlignment="1">
      <alignment/>
    </xf>
    <xf numFmtId="166" fontId="0" fillId="0" borderId="0" xfId="15" applyNumberFormat="1" applyBorder="1" applyAlignment="1">
      <alignment/>
    </xf>
    <xf numFmtId="166" fontId="0" fillId="0" borderId="0" xfId="0" applyNumberFormat="1" applyBorder="1" applyAlignment="1">
      <alignment/>
    </xf>
    <xf numFmtId="0" fontId="4" fillId="0" borderId="0" xfId="0" applyFont="1" applyAlignment="1">
      <alignment horizontal="right"/>
    </xf>
    <xf numFmtId="167" fontId="1" fillId="0" borderId="0" xfId="22" applyNumberFormat="1" applyFont="1" applyBorder="1" applyAlignment="1">
      <alignment/>
    </xf>
    <xf numFmtId="167" fontId="0" fillId="0" borderId="0" xfId="22" applyNumberFormat="1" applyAlignment="1">
      <alignment/>
    </xf>
    <xf numFmtId="44" fontId="0" fillId="0" borderId="0" xfId="17" applyAlignment="1">
      <alignment/>
    </xf>
    <xf numFmtId="44" fontId="1" fillId="0" borderId="0" xfId="17" applyFont="1" applyBorder="1" applyAlignment="1">
      <alignment/>
    </xf>
    <xf numFmtId="171" fontId="1" fillId="2" borderId="0" xfId="17" applyNumberFormat="1" applyFont="1" applyFill="1" applyBorder="1" applyAlignment="1">
      <alignment/>
    </xf>
    <xf numFmtId="44" fontId="1" fillId="2" borderId="1" xfId="17" applyFont="1" applyFill="1" applyBorder="1" applyAlignment="1">
      <alignment/>
    </xf>
    <xf numFmtId="0" fontId="4" fillId="0" borderId="0" xfId="0" applyFont="1" applyAlignment="1">
      <alignment wrapText="1"/>
    </xf>
    <xf numFmtId="44" fontId="0" fillId="0" borderId="0" xfId="0" applyNumberFormat="1" applyAlignment="1">
      <alignment/>
    </xf>
    <xf numFmtId="44" fontId="4" fillId="0" borderId="0" xfId="17" applyFont="1" applyAlignment="1">
      <alignment/>
    </xf>
    <xf numFmtId="166" fontId="0" fillId="0" borderId="0" xfId="15" applyNumberFormat="1" applyFont="1" applyAlignment="1">
      <alignment/>
    </xf>
    <xf numFmtId="166" fontId="4" fillId="0" borderId="0" xfId="15" applyNumberFormat="1" applyFont="1" applyAlignment="1">
      <alignment/>
    </xf>
    <xf numFmtId="0" fontId="0" fillId="0" borderId="0" xfId="0" applyAlignment="1">
      <alignment horizontal="center"/>
    </xf>
    <xf numFmtId="9" fontId="0" fillId="0" borderId="0" xfId="22" applyAlignment="1">
      <alignment/>
    </xf>
    <xf numFmtId="167" fontId="0" fillId="0" borderId="0" xfId="0" applyNumberFormat="1" applyBorder="1" applyAlignment="1">
      <alignment/>
    </xf>
    <xf numFmtId="0" fontId="5" fillId="0" borderId="0" xfId="21" applyFont="1" applyAlignment="1">
      <alignment horizontal="right"/>
      <protection/>
    </xf>
    <xf numFmtId="0" fontId="5" fillId="0" borderId="0" xfId="21" applyFont="1" applyAlignment="1">
      <alignment horizontal="left"/>
      <protection/>
    </xf>
    <xf numFmtId="1" fontId="0" fillId="0" borderId="0" xfId="0" applyNumberFormat="1" applyAlignment="1">
      <alignment/>
    </xf>
    <xf numFmtId="0" fontId="0" fillId="0" borderId="0" xfId="0" applyNumberFormat="1" applyAlignment="1">
      <alignment/>
    </xf>
    <xf numFmtId="0" fontId="6" fillId="0" borderId="0" xfId="21" applyFont="1" applyAlignment="1">
      <alignment horizontal="left"/>
      <protection/>
    </xf>
    <xf numFmtId="9" fontId="0" fillId="0" borderId="0" xfId="0" applyNumberFormat="1" applyAlignment="1">
      <alignment/>
    </xf>
    <xf numFmtId="0" fontId="5" fillId="0" borderId="0" xfId="0" applyFont="1" applyAlignment="1">
      <alignment horizontal="center"/>
    </xf>
    <xf numFmtId="2" fontId="0" fillId="0" borderId="0" xfId="0" applyNumberFormat="1" applyAlignment="1">
      <alignment/>
    </xf>
    <xf numFmtId="0" fontId="0" fillId="0" borderId="0" xfId="0" applyFont="1" applyAlignment="1">
      <alignment/>
    </xf>
    <xf numFmtId="0" fontId="0" fillId="0" borderId="0" xfId="0" applyFill="1" applyBorder="1" applyAlignment="1">
      <alignment/>
    </xf>
    <xf numFmtId="44" fontId="0" fillId="0" borderId="0" xfId="0" applyNumberFormat="1" applyBorder="1" applyAlignment="1">
      <alignment/>
    </xf>
    <xf numFmtId="44" fontId="0" fillId="0" borderId="0" xfId="17" applyBorder="1" applyAlignment="1">
      <alignment/>
    </xf>
    <xf numFmtId="44" fontId="0" fillId="0" borderId="0" xfId="17" applyBorder="1" applyAlignment="1">
      <alignment horizontal="right"/>
    </xf>
    <xf numFmtId="44" fontId="0" fillId="0" borderId="0" xfId="17" applyFont="1" applyBorder="1" applyAlignment="1">
      <alignment horizontal="right"/>
    </xf>
    <xf numFmtId="0" fontId="4" fillId="3" borderId="0" xfId="0" applyFont="1" applyFill="1" applyAlignment="1">
      <alignment wrapText="1"/>
    </xf>
    <xf numFmtId="0" fontId="4" fillId="4" borderId="0" xfId="0" applyFont="1" applyFill="1" applyAlignment="1">
      <alignment wrapText="1"/>
    </xf>
    <xf numFmtId="44" fontId="4" fillId="3" borderId="0" xfId="17" applyFont="1" applyFill="1" applyAlignment="1">
      <alignment/>
    </xf>
    <xf numFmtId="166" fontId="4" fillId="4" borderId="0" xfId="15" applyNumberFormat="1" applyFont="1" applyFill="1" applyAlignment="1">
      <alignment/>
    </xf>
    <xf numFmtId="0" fontId="4" fillId="4" borderId="0" xfId="0" applyFont="1" applyFill="1" applyAlignment="1">
      <alignment/>
    </xf>
    <xf numFmtId="44" fontId="4" fillId="4" borderId="0" xfId="17" applyFont="1" applyFill="1" applyAlignment="1">
      <alignment/>
    </xf>
    <xf numFmtId="0" fontId="4" fillId="3" borderId="0" xfId="0" applyFont="1" applyFill="1" applyAlignment="1">
      <alignment/>
    </xf>
    <xf numFmtId="44" fontId="0" fillId="0" borderId="0" xfId="17" applyBorder="1" applyAlignment="1">
      <alignment horizontal="right"/>
    </xf>
    <xf numFmtId="0" fontId="0" fillId="3" borderId="0" xfId="0" applyFill="1" applyAlignment="1">
      <alignment/>
    </xf>
    <xf numFmtId="0" fontId="0" fillId="3" borderId="0" xfId="0" applyFont="1" applyFill="1" applyAlignment="1">
      <alignment/>
    </xf>
    <xf numFmtId="0" fontId="0" fillId="3" borderId="0" xfId="0" applyFill="1" applyBorder="1" applyAlignment="1">
      <alignment/>
    </xf>
    <xf numFmtId="44" fontId="0" fillId="0" borderId="1" xfId="17" applyBorder="1" applyAlignment="1">
      <alignment/>
    </xf>
    <xf numFmtId="44" fontId="4" fillId="0" borderId="0" xfId="0" applyNumberFormat="1" applyFont="1" applyAlignment="1">
      <alignment/>
    </xf>
    <xf numFmtId="44" fontId="0" fillId="0" borderId="0" xfId="17" applyAlignment="1">
      <alignment horizontal="right"/>
    </xf>
    <xf numFmtId="44" fontId="0" fillId="2" borderId="0" xfId="0" applyNumberFormat="1" applyFill="1" applyBorder="1" applyAlignment="1">
      <alignment/>
    </xf>
    <xf numFmtId="44" fontId="4" fillId="0" borderId="0" xfId="17" applyFont="1" applyAlignment="1">
      <alignment horizontal="right"/>
    </xf>
    <xf numFmtId="0" fontId="4" fillId="3" borderId="0" xfId="0" applyFont="1" applyFill="1" applyAlignment="1">
      <alignment horizontal="center"/>
    </xf>
    <xf numFmtId="0" fontId="4" fillId="0" borderId="0" xfId="0" applyFont="1" applyAlignment="1">
      <alignment horizontal="center"/>
    </xf>
    <xf numFmtId="0" fontId="4" fillId="5" borderId="0" xfId="0" applyFont="1" applyFill="1" applyAlignment="1">
      <alignment horizontal="center"/>
    </xf>
    <xf numFmtId="0" fontId="4" fillId="6" borderId="0" xfId="0" applyFont="1" applyFill="1" applyAlignment="1">
      <alignment horizontal="center"/>
    </xf>
    <xf numFmtId="0" fontId="0" fillId="7" borderId="0" xfId="0" applyFill="1" applyAlignment="1">
      <alignment/>
    </xf>
    <xf numFmtId="44" fontId="0" fillId="7" borderId="0" xfId="0" applyNumberFormat="1" applyFill="1" applyAlignment="1">
      <alignment/>
    </xf>
    <xf numFmtId="44" fontId="0" fillId="7" borderId="0" xfId="17" applyFill="1"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horizontal="center"/>
    </xf>
    <xf numFmtId="44" fontId="4" fillId="0" borderId="0" xfId="17" applyFont="1" applyFill="1" applyAlignment="1">
      <alignment horizontal="right"/>
    </xf>
    <xf numFmtId="44" fontId="0" fillId="0" borderId="0" xfId="17" applyFill="1" applyAlignment="1">
      <alignment/>
    </xf>
    <xf numFmtId="44" fontId="0" fillId="0" borderId="0" xfId="0" applyNumberFormat="1" applyAlignment="1" quotePrefix="1">
      <alignment/>
    </xf>
    <xf numFmtId="179" fontId="0" fillId="0" borderId="0" xfId="0" applyNumberFormat="1" applyAlignment="1">
      <alignment/>
    </xf>
    <xf numFmtId="0" fontId="0" fillId="0" borderId="0" xfId="0" applyAlignment="1">
      <alignment horizontal="left"/>
    </xf>
    <xf numFmtId="183" fontId="0" fillId="0" borderId="0" xfId="0" applyNumberFormat="1" applyAlignment="1">
      <alignment/>
    </xf>
    <xf numFmtId="185" fontId="0" fillId="0" borderId="0" xfId="0" applyNumberForma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airyDat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12</xdr:col>
      <xdr:colOff>581025</xdr:colOff>
      <xdr:row>86</xdr:row>
      <xdr:rowOff>28575</xdr:rowOff>
    </xdr:to>
    <xdr:sp>
      <xdr:nvSpPr>
        <xdr:cNvPr id="1" name="TextBox 1"/>
        <xdr:cNvSpPr txBox="1">
          <a:spLocks noChangeArrowheads="1"/>
        </xdr:cNvSpPr>
      </xdr:nvSpPr>
      <xdr:spPr>
        <a:xfrm>
          <a:off x="19050" y="28575"/>
          <a:ext cx="7877175" cy="13925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Background</a:t>
          </a:r>
          <a:r>
            <a:rPr lang="en-US" cap="none" sz="1000" b="0" i="0" u="none" baseline="0">
              <a:latin typeface="Arial"/>
              <a:ea typeface="Arial"/>
              <a:cs typeface="Arial"/>
            </a:rPr>
            <a:t>
In the Federal Milk Marketing Order system, a producers milk check is a function of the class utilization in their area and the value of their milk to each class.  
For example, in March 2000 the Upper Midwest milk marketing order had a utilization of 16% in Class I (fluid products), 4% in Class II (yogurt and other soft products), 79% in Class III (hard cheeses), and 1% in Class IV (butter and non-fat dry milk).  Therefore, a producer in this area would get a mailbox price that is roughly weighted 16% by volume of the Class I price, 4% by volume of the Class II price, 79% by the component value of Class III prices, and 1% by the component value of Class IV markets.
This system has significant implications for the milk hedgers' basis since class utilizations change every month and Class III and Class IV hedging instruments are the prices that a producer would get if they had 3.5% fat, 3.1% protein, and a somatic cell count of 350,000.  A producer with different component values has different risks than a herd that is more typical to the federal standard and this worksheet is designed to help the producer better understand those differences and just what the various hedging instruments mean to their milkcheck.
</a:t>
          </a:r>
          <a:r>
            <a:rPr lang="en-US" cap="none" sz="1200" b="1" i="0" u="none" baseline="0">
              <a:latin typeface="Arial"/>
              <a:ea typeface="Arial"/>
              <a:cs typeface="Arial"/>
            </a:rPr>
            <a:t>The Program</a:t>
          </a:r>
          <a:r>
            <a:rPr lang="en-US" cap="none" sz="1000" b="0" i="0" u="none" baseline="0">
              <a:latin typeface="Arial"/>
              <a:ea typeface="Arial"/>
              <a:cs typeface="Arial"/>
            </a:rPr>
            <a:t>
This program is designed around a three scenario case; what happens when the market goes down, when it stays the same, and when it goes up.
</a:t>
          </a:r>
          <a:r>
            <a:rPr lang="en-US" cap="none" sz="1000" b="1" i="0" u="none" baseline="0">
              <a:latin typeface="Arial"/>
              <a:ea typeface="Arial"/>
              <a:cs typeface="Arial"/>
            </a:rPr>
            <a:t>User instructions:</a:t>
          </a:r>
          <a:r>
            <a:rPr lang="en-US" cap="none" sz="1000" b="0" i="0" u="none" baseline="0">
              <a:latin typeface="Arial"/>
              <a:ea typeface="Arial"/>
              <a:cs typeface="Arial"/>
            </a:rPr>
            <a:t>
Forecast Tab
1. Select the month of interest that you want to market milk in and your federal order
2. In the cells with blue text, enter you anticipated herd size, milk production, component values, and somatic cell count.
3. In the NASS Declared Market Prices section enter your estimate of those prices in three scenarios for the forecast month.  Some forecasting tips:
• The University of Wisconsin Price Forecasting model available at www.aae.wisc.edu/future is a great way to get realistic prices
• Make sure that the prices translate to realistic class prices.  For example he Class III price is the price of butter times .42, the price of cheese times 9.64, the price of whey times 5.86 less 2.57.  So if Class III prices in the forecast month are currently trading at $10.50 then your commodity prices entered in the most likely scenario should show an Assumed Class III price at the bottom of the sheet of 10.50
4. Enter realistic advance prices in the Advance prices section
5. Find out the Class I differential for your farm and enter it in the Class I differential section.  Differentials for select cities in the region have been provided as a guide.
6. The 2000 class utilizations for the select month in that region have been provided as a guide.  Enter utilizations for Classes I-III, and the implied Class IV utization will appear.  Make sure that your utilizations account for 100% of the milk in that month in a realistic way.
</a:t>
          </a:r>
          <a:r>
            <a:rPr lang="en-US" cap="none" sz="1200" b="1" i="0" u="none" baseline="0">
              <a:latin typeface="Arial"/>
              <a:ea typeface="Arial"/>
              <a:cs typeface="Arial"/>
            </a:rPr>
            <a:t>Risk Tab 
</a:t>
          </a:r>
          <a:r>
            <a:rPr lang="en-US" cap="none" sz="1000" b="0" i="0" u="none" baseline="0">
              <a:latin typeface="Arial"/>
              <a:ea typeface="Arial"/>
              <a:cs typeface="Arial"/>
            </a:rPr>
            <a:t>Here you can see your mailbox check sensitivity in the three scenarios
</a:t>
          </a:r>
          <a:r>
            <a:rPr lang="en-US" cap="none" sz="1200" b="1" i="0" u="none" baseline="0">
              <a:latin typeface="Arial"/>
              <a:ea typeface="Arial"/>
              <a:cs typeface="Arial"/>
            </a:rPr>
            <a:t>Hedge Tab</a:t>
          </a:r>
          <a:r>
            <a:rPr lang="en-US" cap="none" sz="1000" b="0" i="0" u="none" baseline="0">
              <a:latin typeface="Arial"/>
              <a:ea typeface="Arial"/>
              <a:cs typeface="Arial"/>
            </a:rPr>
            <a:t>
The instruments that a milk producer would use as a milk hedge have been indicated with a star in Column A.
For futures instruments
1. Enter the number that you are interested in buying in Column D and the broker fee charged.  If you are buying this instrument through a coop that quotes a price different that the Chicago Mercantile Exchange, the broker fee is $20 times every penny that the coop price is different than the Chicago price.  
2. Enter the average contract price of the futures instruments that you are buying in Column H.  Ex, if you sold one contact at $10, two at $11.15, and another one at $10.20 for the contract month, you would enter $10.625
 For Calls
1. Enter the number of calls that you have sold in Column D and the price that you received less broker fees for them in Column F.  Ex if you sold one instrument for 50 cents and a broker fee of $50, you would of received $20 times every penny on the call ($1,000) and you would enter a positive $950.
2. Enter the calls strike price in Column H.  This program does not lend will to multiple call options at different prices.  If you have sold calls at different prices, it is recommended that you enter each call separately and sum their effects together when assessing your hedge position.
For Puts
1. Enter the number of puts that you have sold in Column D and the price that you paid less broker fees for them in Column F.  Ex if you baught one instrument for 50 cents and a broker fee of $50, you would of paid $20 times every penny on the call ($1,000) and you would enter a negative $1,050.
2. Enter the puts strike price in Column H.  This program does not lend will to multiple put options at different prices.  If you have sold puts at different prices, it is recommended that you enter each put separately and sum their effects together when assessing your hedge position.
</a:t>
          </a:r>
          <a:r>
            <a:rPr lang="en-US" cap="none" sz="1200" b="1" i="0" u="none" baseline="0">
              <a:latin typeface="Arial"/>
              <a:ea typeface="Arial"/>
              <a:cs typeface="Arial"/>
            </a:rPr>
            <a:t>Check Tab</a:t>
          </a:r>
          <a:r>
            <a:rPr lang="en-US" cap="none" sz="1000" b="0" i="0" u="none" baseline="0">
              <a:latin typeface="Arial"/>
              <a:ea typeface="Arial"/>
              <a:cs typeface="Arial"/>
            </a:rPr>
            <a:t>
By selecting from the three scenarios in the drop down menu above, you can see the effect of market prices and your hedge strategy on your milk check.
</a:t>
          </a:r>
          <a:r>
            <a:rPr lang="en-US" cap="none" sz="1000" b="1" i="0" u="none" baseline="0">
              <a:latin typeface="Arial"/>
              <a:ea typeface="Arial"/>
              <a:cs typeface="Arial"/>
            </a:rPr>
            <a:t>Instructions</a:t>
          </a:r>
          <a:r>
            <a:rPr lang="en-US" cap="none" sz="1000" b="0" i="0" u="none" baseline="0">
              <a:latin typeface="Arial"/>
              <a:ea typeface="Arial"/>
              <a:cs typeface="Arial"/>
            </a:rPr>
            <a:t>
1. Enter your processors somatic cell adjustment premium, the federal minimum for most marketing orders is .0005
2. Enter any other premiums that your processor may offer based on the hundred weight of milk sold.
3. Enter any quantity premiums or deductions that you may receive based on the quantity of milk sold
4. Enter federal quantity based deductions and any other deduction your order may have
5. Enter any coop-based quantity fees or premiums
6. Enter any fixed premiums or fees such as trucking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0</xdr:row>
      <xdr:rowOff>9525</xdr:rowOff>
    </xdr:from>
    <xdr:to>
      <xdr:col>4</xdr:col>
      <xdr:colOff>0</xdr:colOff>
      <xdr:row>1</xdr:row>
      <xdr:rowOff>19050</xdr:rowOff>
    </xdr:to>
    <xdr:pic>
      <xdr:nvPicPr>
        <xdr:cNvPr id="1" name="ComboBox1"/>
        <xdr:cNvPicPr preferRelativeResize="1">
          <a:picLocks noChangeAspect="1"/>
        </xdr:cNvPicPr>
      </xdr:nvPicPr>
      <xdr:blipFill>
        <a:blip r:embed="rId1"/>
        <a:stretch>
          <a:fillRect/>
        </a:stretch>
      </xdr:blipFill>
      <xdr:spPr>
        <a:xfrm>
          <a:off x="1438275" y="9525"/>
          <a:ext cx="1390650" cy="200025"/>
        </a:xfrm>
        <a:prstGeom prst="rect">
          <a:avLst/>
        </a:prstGeom>
        <a:noFill/>
        <a:ln w="9525" cmpd="sng">
          <a:noFill/>
        </a:ln>
      </xdr:spPr>
    </xdr:pic>
    <xdr:clientData/>
  </xdr:twoCellAnchor>
  <xdr:twoCellAnchor editAs="oneCell">
    <xdr:from>
      <xdr:col>3</xdr:col>
      <xdr:colOff>0</xdr:colOff>
      <xdr:row>2</xdr:row>
      <xdr:rowOff>9525</xdr:rowOff>
    </xdr:from>
    <xdr:to>
      <xdr:col>4</xdr:col>
      <xdr:colOff>0</xdr:colOff>
      <xdr:row>3</xdr:row>
      <xdr:rowOff>9525</xdr:rowOff>
    </xdr:to>
    <xdr:pic>
      <xdr:nvPicPr>
        <xdr:cNvPr id="2" name="ComboBox2"/>
        <xdr:cNvPicPr preferRelativeResize="1">
          <a:picLocks noChangeAspect="1"/>
        </xdr:cNvPicPr>
      </xdr:nvPicPr>
      <xdr:blipFill>
        <a:blip r:embed="rId2"/>
        <a:stretch>
          <a:fillRect/>
        </a:stretch>
      </xdr:blipFill>
      <xdr:spPr>
        <a:xfrm>
          <a:off x="1447800" y="238125"/>
          <a:ext cx="1381125"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0</xdr:row>
      <xdr:rowOff>9525</xdr:rowOff>
    </xdr:from>
    <xdr:to>
      <xdr:col>6</xdr:col>
      <xdr:colOff>0</xdr:colOff>
      <xdr:row>1</xdr:row>
      <xdr:rowOff>47625</xdr:rowOff>
    </xdr:to>
    <xdr:pic>
      <xdr:nvPicPr>
        <xdr:cNvPr id="1" name="ComboBox1"/>
        <xdr:cNvPicPr preferRelativeResize="1">
          <a:picLocks noChangeAspect="1"/>
        </xdr:cNvPicPr>
      </xdr:nvPicPr>
      <xdr:blipFill>
        <a:blip r:embed="rId1"/>
        <a:stretch>
          <a:fillRect/>
        </a:stretch>
      </xdr:blipFill>
      <xdr:spPr>
        <a:xfrm>
          <a:off x="1619250" y="9525"/>
          <a:ext cx="8667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A1"/>
  <sheetViews>
    <sheetView tabSelected="1" workbookViewId="0" topLeftCell="A1">
      <selection activeCell="N9" sqref="N9"/>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45"/>
  <sheetViews>
    <sheetView zoomScale="114" zoomScaleNormal="114" workbookViewId="0" topLeftCell="A1">
      <pane ySplit="4" topLeftCell="BM5" activePane="bottomLeft" state="frozen"/>
      <selection pane="topLeft" activeCell="A1" sqref="A1"/>
      <selection pane="bottomLeft" activeCell="D15" sqref="D15"/>
    </sheetView>
  </sheetViews>
  <sheetFormatPr defaultColWidth="9.140625" defaultRowHeight="12.75"/>
  <cols>
    <col min="1" max="1" width="3.421875" style="0" customWidth="1"/>
    <col min="4" max="4" width="20.7109375" style="0" customWidth="1"/>
    <col min="5" max="5" width="14.7109375" style="0" customWidth="1"/>
    <col min="6" max="6" width="1.7109375" style="11" customWidth="1"/>
    <col min="7" max="7" width="14.7109375" style="0" customWidth="1"/>
    <col min="8" max="8" width="1.7109375" style="11" customWidth="1"/>
    <col min="9" max="9" width="14.7109375" style="0" customWidth="1"/>
  </cols>
  <sheetData>
    <row r="1" ht="15" customHeight="1">
      <c r="A1" s="6" t="s">
        <v>55</v>
      </c>
    </row>
    <row r="2" ht="3" customHeight="1">
      <c r="A2" s="6"/>
    </row>
    <row r="3" spans="1:9" ht="15.75" customHeight="1">
      <c r="A3" s="6" t="s">
        <v>126</v>
      </c>
      <c r="E3" s="53" t="s">
        <v>63</v>
      </c>
      <c r="F3" s="12"/>
      <c r="G3" s="53" t="s">
        <v>53</v>
      </c>
      <c r="H3" s="12"/>
      <c r="I3" s="53" t="s">
        <v>62</v>
      </c>
    </row>
    <row r="4" ht="3" customHeight="1">
      <c r="A4" s="6"/>
    </row>
    <row r="5" ht="12.75">
      <c r="A5" s="6" t="s">
        <v>17</v>
      </c>
    </row>
    <row r="6" spans="2:9" ht="12.75">
      <c r="B6" t="s">
        <v>0</v>
      </c>
      <c r="E6" s="2">
        <v>120</v>
      </c>
      <c r="F6" s="2"/>
      <c r="G6" s="2">
        <v>120</v>
      </c>
      <c r="H6" s="2"/>
      <c r="I6" s="2">
        <v>120</v>
      </c>
    </row>
    <row r="7" spans="2:9" ht="12.75">
      <c r="B7" t="s">
        <v>1</v>
      </c>
      <c r="E7" s="1">
        <v>60</v>
      </c>
      <c r="F7" s="2"/>
      <c r="G7" s="1">
        <v>60</v>
      </c>
      <c r="H7" s="2"/>
      <c r="I7" s="1">
        <v>60</v>
      </c>
    </row>
    <row r="8" spans="2:9" ht="12.75">
      <c r="B8" t="s">
        <v>54</v>
      </c>
      <c r="E8" s="5">
        <f>E6*E7*Data!$D1/100</f>
        <v>2160</v>
      </c>
      <c r="F8" s="51"/>
      <c r="G8" s="5">
        <f>G6*G7*Data!$D1/100</f>
        <v>2160</v>
      </c>
      <c r="H8" s="51"/>
      <c r="I8" s="5">
        <f>I6*I7*Data!$D1/100</f>
        <v>2160</v>
      </c>
    </row>
    <row r="9" ht="12.75">
      <c r="K9" s="8"/>
    </row>
    <row r="10" spans="1:11" ht="12.75">
      <c r="A10" s="6" t="s">
        <v>18</v>
      </c>
      <c r="E10" s="53"/>
      <c r="F10" s="12"/>
      <c r="G10" s="53"/>
      <c r="H10" s="12"/>
      <c r="I10" s="53"/>
      <c r="K10" s="8"/>
    </row>
    <row r="11" spans="2:11" ht="12.75">
      <c r="B11" t="s">
        <v>19</v>
      </c>
      <c r="E11" s="8">
        <v>0.037</v>
      </c>
      <c r="F11" s="52"/>
      <c r="G11" s="8">
        <v>0.037</v>
      </c>
      <c r="H11" s="54"/>
      <c r="I11" s="8">
        <v>0.037</v>
      </c>
      <c r="K11" s="8"/>
    </row>
    <row r="12" spans="2:9" ht="12.75">
      <c r="B12" t="s">
        <v>20</v>
      </c>
      <c r="E12" s="8">
        <v>0.03</v>
      </c>
      <c r="F12" s="52"/>
      <c r="G12" s="8">
        <v>0.03</v>
      </c>
      <c r="H12" s="54"/>
      <c r="I12" s="8">
        <v>0.03</v>
      </c>
    </row>
    <row r="13" spans="2:9" ht="12.75">
      <c r="B13" t="s">
        <v>21</v>
      </c>
      <c r="E13" s="8">
        <v>0.06</v>
      </c>
      <c r="F13" s="52"/>
      <c r="G13" s="8">
        <v>0.06</v>
      </c>
      <c r="H13" s="54"/>
      <c r="I13" s="8">
        <v>0.06</v>
      </c>
    </row>
    <row r="15" spans="1:9" ht="12.75">
      <c r="A15" s="6" t="s">
        <v>22</v>
      </c>
      <c r="E15" s="14">
        <v>350000</v>
      </c>
      <c r="F15" s="2"/>
      <c r="G15" s="14">
        <v>350000</v>
      </c>
      <c r="H15" s="2"/>
      <c r="I15" s="14">
        <v>350000</v>
      </c>
    </row>
    <row r="17" spans="1:11" ht="12.75">
      <c r="A17" s="6" t="s">
        <v>60</v>
      </c>
      <c r="K17" s="94" t="s">
        <v>238</v>
      </c>
    </row>
    <row r="18" spans="2:11" ht="12.75">
      <c r="B18" t="s">
        <v>56</v>
      </c>
      <c r="E18" s="13">
        <v>1</v>
      </c>
      <c r="F18" s="57"/>
      <c r="G18" s="13">
        <v>1.4</v>
      </c>
      <c r="H18" s="57"/>
      <c r="I18" s="13">
        <v>1.8</v>
      </c>
      <c r="K18" s="56">
        <v>1.05</v>
      </c>
    </row>
    <row r="19" spans="2:11" ht="12.75">
      <c r="B19" t="s">
        <v>57</v>
      </c>
      <c r="E19" s="13">
        <v>1.262923897770183</v>
      </c>
      <c r="F19" s="57"/>
      <c r="G19" s="13">
        <v>1.2484787930136598</v>
      </c>
      <c r="H19" s="57"/>
      <c r="I19" s="13">
        <v>1.2188852100996854</v>
      </c>
      <c r="K19" s="56">
        <v>1.13</v>
      </c>
    </row>
    <row r="20" spans="2:11" ht="12.75">
      <c r="B20" t="s">
        <v>58</v>
      </c>
      <c r="E20" s="13">
        <v>0.2349</v>
      </c>
      <c r="F20" s="57"/>
      <c r="G20" s="13">
        <v>0.23</v>
      </c>
      <c r="H20" s="57"/>
      <c r="I20" s="13">
        <v>0.25</v>
      </c>
      <c r="K20" s="95" t="s">
        <v>239</v>
      </c>
    </row>
    <row r="21" spans="2:11" ht="12.75">
      <c r="B21" t="s">
        <v>59</v>
      </c>
      <c r="E21" s="13">
        <v>0.81</v>
      </c>
      <c r="F21" s="57"/>
      <c r="G21" s="13">
        <v>0.81</v>
      </c>
      <c r="H21" s="57"/>
      <c r="I21" s="13">
        <v>0.81</v>
      </c>
      <c r="K21" s="56">
        <v>0.81</v>
      </c>
    </row>
    <row r="22" spans="5:9" ht="12.75">
      <c r="E22" s="13"/>
      <c r="F22" s="57"/>
      <c r="G22" s="13"/>
      <c r="H22" s="57"/>
      <c r="I22" s="13"/>
    </row>
    <row r="23" ht="12.75">
      <c r="A23" s="6" t="s">
        <v>89</v>
      </c>
    </row>
    <row r="24" spans="2:9" ht="12.75">
      <c r="B24" t="s">
        <v>82</v>
      </c>
      <c r="E24" s="13">
        <v>1</v>
      </c>
      <c r="F24" s="57"/>
      <c r="G24" s="13">
        <v>1.08</v>
      </c>
      <c r="H24" s="57"/>
      <c r="I24" s="13">
        <v>1.4</v>
      </c>
    </row>
    <row r="25" spans="2:9" ht="12.75">
      <c r="B25" t="s">
        <v>83</v>
      </c>
      <c r="E25" s="13">
        <v>1.262923897770183</v>
      </c>
      <c r="F25" s="57"/>
      <c r="G25" s="13">
        <v>1.17</v>
      </c>
      <c r="H25" s="57"/>
      <c r="I25" s="13">
        <v>1.38</v>
      </c>
    </row>
    <row r="26" spans="2:9" ht="12.75">
      <c r="B26" t="s">
        <v>84</v>
      </c>
      <c r="E26" s="13">
        <v>0.2349</v>
      </c>
      <c r="F26" s="57"/>
      <c r="G26" s="13">
        <v>0.23</v>
      </c>
      <c r="H26" s="57"/>
      <c r="I26" s="13">
        <v>0.25</v>
      </c>
    </row>
    <row r="27" spans="2:9" ht="12.75">
      <c r="B27" t="s">
        <v>76</v>
      </c>
      <c r="E27" s="13">
        <v>0.81</v>
      </c>
      <c r="F27" s="57"/>
      <c r="G27" s="13">
        <v>0.88</v>
      </c>
      <c r="H27" s="57"/>
      <c r="I27" s="13">
        <v>0.91</v>
      </c>
    </row>
    <row r="28" ht="12.75">
      <c r="K28" s="6" t="str">
        <f>CONCATENATE(Data!P1," Differential")</f>
        <v>Chicago Differential</v>
      </c>
    </row>
    <row r="29" spans="1:11" ht="12.75">
      <c r="A29" s="6" t="s">
        <v>93</v>
      </c>
      <c r="E29" s="13">
        <v>1.65</v>
      </c>
      <c r="F29" s="57"/>
      <c r="G29" s="13">
        <v>1.65</v>
      </c>
      <c r="H29" s="57"/>
      <c r="I29" s="13">
        <v>1.65</v>
      </c>
      <c r="K29" s="56">
        <f>Data!Q1</f>
        <v>1.8</v>
      </c>
    </row>
    <row r="31" spans="1:11" ht="12.75">
      <c r="A31" s="6" t="s">
        <v>96</v>
      </c>
      <c r="K31" s="6" t="str">
        <f>CONCATENATE(Data!E1," 2000 ",Data!N1," Utilizations")</f>
        <v>December 2000 Upper Midwest Utilizations</v>
      </c>
    </row>
    <row r="32" spans="1:11" ht="12.75">
      <c r="A32" s="6"/>
      <c r="B32" t="s">
        <v>95</v>
      </c>
      <c r="E32" s="8">
        <v>0.14</v>
      </c>
      <c r="F32" s="67"/>
      <c r="G32" s="8">
        <v>0.14</v>
      </c>
      <c r="H32" s="67"/>
      <c r="I32" s="8">
        <v>0.14</v>
      </c>
      <c r="K32" s="66">
        <f ca="1">INDIRECT(ADDRESS(16+Data!C$1,13+Data!O$1,,,"Data"))/100</f>
        <v>0.2</v>
      </c>
    </row>
    <row r="33" spans="2:11" ht="12.75">
      <c r="B33" t="s">
        <v>78</v>
      </c>
      <c r="E33" s="8">
        <v>0.03</v>
      </c>
      <c r="F33" s="67"/>
      <c r="G33" s="8">
        <v>0.03</v>
      </c>
      <c r="H33" s="67"/>
      <c r="I33" s="8">
        <v>0.03</v>
      </c>
      <c r="K33" s="66">
        <f ca="1">INDIRECT(ADDRESS(31+Data!C$1,13+Data!O$1,,,"Data"))/100</f>
        <v>0.03</v>
      </c>
    </row>
    <row r="34" spans="2:11" ht="12.75">
      <c r="B34" t="s">
        <v>72</v>
      </c>
      <c r="E34" s="8">
        <v>0.81</v>
      </c>
      <c r="F34" s="67"/>
      <c r="G34" s="8">
        <v>0.81</v>
      </c>
      <c r="H34" s="67"/>
      <c r="I34" s="8">
        <v>0.81</v>
      </c>
      <c r="K34" s="66">
        <f ca="1">INDIRECT(ADDRESS(46+Data!C$1,13+Data!O$1,,,"Data"))/100</f>
        <v>0.76</v>
      </c>
    </row>
    <row r="35" spans="2:11" ht="12.75">
      <c r="B35" t="s">
        <v>74</v>
      </c>
      <c r="E35" s="55">
        <f>1-SUM(E32:E34)</f>
        <v>0.019999999999999907</v>
      </c>
      <c r="F35" s="67"/>
      <c r="G35" s="55">
        <f>1-SUM(G32:G34)</f>
        <v>0.019999999999999907</v>
      </c>
      <c r="H35" s="67"/>
      <c r="I35" s="55">
        <f>1-SUM(I32:I34)</f>
        <v>0.019999999999999907</v>
      </c>
      <c r="K35" s="66">
        <f ca="1">INDIRECT(ADDRESS(61+Data!C$1,13+Data!O$1,,,"Data"))/100</f>
        <v>0.01</v>
      </c>
    </row>
    <row r="36" ht="12.75">
      <c r="K36" s="73"/>
    </row>
    <row r="37" ht="12.75">
      <c r="A37" s="6" t="s">
        <v>150</v>
      </c>
    </row>
    <row r="38" spans="2:11" ht="12.75">
      <c r="B38" t="s">
        <v>95</v>
      </c>
      <c r="E38" s="61">
        <f>Data!G34</f>
        <v>13.168050063013496</v>
      </c>
      <c r="G38" s="61">
        <f>Data!I34</f>
        <v>12.268278979602005</v>
      </c>
      <c r="I38" s="61">
        <f>Data!K34</f>
        <v>14.567909673003154</v>
      </c>
      <c r="K38" s="61"/>
    </row>
    <row r="39" spans="2:11" ht="12.75">
      <c r="B39" t="s">
        <v>78</v>
      </c>
      <c r="E39" s="61">
        <f>Data!G31</f>
        <v>10.23595</v>
      </c>
      <c r="G39" s="61">
        <f>Data!I31</f>
        <v>12.5239</v>
      </c>
      <c r="I39" s="61">
        <f>Data!K31</f>
        <v>14.46445</v>
      </c>
      <c r="K39" s="61"/>
    </row>
    <row r="40" spans="2:11" ht="12.75">
      <c r="B40" t="s">
        <v>72</v>
      </c>
      <c r="E40" s="61">
        <f>Data!G27</f>
        <v>11.4</v>
      </c>
      <c r="G40" s="61">
        <f>Data!I27</f>
        <v>11.400000000000004</v>
      </c>
      <c r="I40" s="61">
        <f>Data!K27</f>
        <v>11.400000000000002</v>
      </c>
      <c r="K40" s="110" t="s">
        <v>245</v>
      </c>
    </row>
    <row r="41" spans="2:11" ht="12.75">
      <c r="B41" t="s">
        <v>74</v>
      </c>
      <c r="E41" s="61">
        <f>Data!G25</f>
        <v>9.477760499999999</v>
      </c>
      <c r="G41" s="61">
        <f>Data!I25</f>
        <v>11.157760499999998</v>
      </c>
      <c r="I41" s="61">
        <f>Data!K25</f>
        <v>12.837760499999998</v>
      </c>
      <c r="K41" s="110" t="s">
        <v>244</v>
      </c>
    </row>
    <row r="43" spans="1:9" ht="12.75">
      <c r="A43" s="6" t="s">
        <v>151</v>
      </c>
      <c r="E43" s="61">
        <f>SUMPRODUCT(E32:E35,E38:E41)-E40</f>
        <v>0.17416071882188966</v>
      </c>
      <c r="G43" s="61">
        <f>SUMPRODUCT(G32:G35,G38:G41)-G40</f>
        <v>0.15043126714427935</v>
      </c>
      <c r="I43" s="61">
        <f>SUMPRODUCT(I32:I35,I38:I41)-I40</f>
        <v>0.5641960642204396</v>
      </c>
    </row>
    <row r="45" spans="1:9" ht="12.75">
      <c r="A45" s="6" t="s">
        <v>246</v>
      </c>
      <c r="E45" s="56">
        <f>SUMPRODUCT(E38:E41,E32:E35)</f>
        <v>11.57416071882189</v>
      </c>
      <c r="G45" s="56">
        <f>SUMPRODUCT(G38:G41,G32:G35)</f>
        <v>11.550431267144283</v>
      </c>
      <c r="I45" s="56">
        <f>SUMPRODUCT(I38:I41,I32:I35)</f>
        <v>11.964196064220442</v>
      </c>
    </row>
  </sheetData>
  <printOptions/>
  <pageMargins left="0.25" right="0.25" top="0.5" bottom="0.25" header="0.25" footer="0.25"/>
  <pageSetup fitToHeight="1" fitToWidth="1" horizontalDpi="600" verticalDpi="600" orientation="landscape" scale="82" r:id="rId2"/>
  <headerFooter alignWithMargins="0">
    <oddHeader>&amp;LEnter Your Forecast</oddHeader>
  </headerFooter>
  <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X101"/>
  <sheetViews>
    <sheetView zoomScale="132" zoomScaleNormal="132" workbookViewId="0" topLeftCell="A1">
      <selection activeCell="M86" sqref="M86"/>
    </sheetView>
  </sheetViews>
  <sheetFormatPr defaultColWidth="9.140625" defaultRowHeight="12.75"/>
  <cols>
    <col min="1" max="1" width="2.7109375" style="0" customWidth="1"/>
    <col min="2" max="2" width="31.00390625" style="0" customWidth="1"/>
    <col min="3" max="3" width="1.7109375" style="0" customWidth="1"/>
    <col min="4" max="4" width="14.7109375" style="0" customWidth="1"/>
    <col min="5" max="5" width="1.7109375" style="0" customWidth="1"/>
    <col min="6" max="6" width="14.8515625" style="0" customWidth="1"/>
    <col min="7" max="7" width="1.7109375" style="0" customWidth="1"/>
    <col min="8" max="8" width="14.7109375" style="0" customWidth="1"/>
    <col min="9" max="9" width="2.7109375" style="0" customWidth="1"/>
    <col min="10" max="10" width="14.8515625" style="17" customWidth="1"/>
    <col min="11" max="14" width="8.28125" style="0" customWidth="1"/>
    <col min="15" max="15" width="13.28125" style="0" bestFit="1" customWidth="1"/>
    <col min="16" max="16" width="12.140625" style="0" bestFit="1" customWidth="1"/>
    <col min="17" max="17" width="2.421875" style="0" customWidth="1"/>
    <col min="18" max="18" width="13.28125" style="0" bestFit="1" customWidth="1"/>
    <col min="19" max="20" width="11.00390625" style="0" customWidth="1"/>
    <col min="21" max="21" width="2.140625" style="0" customWidth="1"/>
    <col min="23" max="24" width="11.28125" style="56" customWidth="1"/>
  </cols>
  <sheetData>
    <row r="1" spans="10:24" s="11" customFormat="1" ht="12.75">
      <c r="J1" s="16"/>
      <c r="W1" s="79"/>
      <c r="X1" s="79"/>
    </row>
    <row r="2" spans="1:24" s="11" customFormat="1" ht="12.75" hidden="1">
      <c r="A2" s="10"/>
      <c r="B2" t="s">
        <v>0</v>
      </c>
      <c r="D2" s="79">
        <f>Forecast!E6*Forecast!G7*Data!D1*(Forecast!G11*Data!I12+Data!I13*Forecast!G12+Forecast!G13*Data!I14+Forecast!G43/100+((350000-Forecast!G15)*0.00000006))</f>
        <v>25697.777871913815</v>
      </c>
      <c r="F2" s="78">
        <f>Forecast!G6*Forecast!G7*Data!D1*(Forecast!G11*Data!I12+Data!I13*Forecast!G12+Forecast!G13*Data!I14+Forecast!G43/100+((350000-Forecast!G15)*0.00000006))</f>
        <v>25697.777871913815</v>
      </c>
      <c r="H2" s="79">
        <f>Forecast!I6*Forecast!G7*Data!D1*(Forecast!G11*Data!I12+Data!I13*Forecast!G12+Forecast!G13*Data!I14+Forecast!G43/100+((350000-Forecast!G15)*0.00000006))</f>
        <v>25697.777871913815</v>
      </c>
      <c r="I2" s="11" t="str">
        <f ca="1" t="shared" si="0" ref="I2:I18">INDIRECT(ADDRESS(M2,2))</f>
        <v>Total Risk</v>
      </c>
      <c r="J2" s="16">
        <f ca="1">INDIRECT(ADDRESS($M2,4))-INDIRECT(ADDRESS($M2,6))</f>
        <v>-142.6286129840846</v>
      </c>
      <c r="K2" s="16">
        <f ca="1" t="shared" si="1" ref="K2:K18">INDIRECT(ADDRESS($M2,6))-INDIRECT(ADDRESS($M2,6))</f>
        <v>0</v>
      </c>
      <c r="L2" s="16">
        <f ca="1" t="shared" si="2" ref="L2:L18">INDIRECT(ADDRESS($M2,8))-INDIRECT(ADDRESS($M2,6))</f>
        <v>1103.6993412599659</v>
      </c>
      <c r="M2" s="78">
        <v>18</v>
      </c>
      <c r="N2" s="16" t="str">
        <f>I2</f>
        <v>Total Risk</v>
      </c>
      <c r="O2" s="78">
        <f>IF(V2&gt;W2,W2,V2)</f>
        <v>25555.14925892973</v>
      </c>
      <c r="P2" s="78">
        <f aca="true" t="shared" si="3" ref="P2:P18">IF($V2&gt;$W2,V2-O2,W2-O2)</f>
        <v>142.6286129840846</v>
      </c>
      <c r="R2" s="79">
        <f>IF($X2&gt;$W2,W2,X2)</f>
        <v>25697.777871913815</v>
      </c>
      <c r="S2" s="79">
        <f>IF($X2&gt;$W2,X2-W2,W2-X2)</f>
        <v>1103.6993412599659</v>
      </c>
      <c r="V2" s="11">
        <f ca="1" t="shared" si="4" ref="V2:V18">INDIRECT(ADDRESS($M2,4))</f>
        <v>25555.14925892973</v>
      </c>
      <c r="W2" s="79">
        <f ca="1" t="shared" si="5" ref="W2:W18">INDIRECT(ADDRESS($M2,6))</f>
        <v>25697.777871913815</v>
      </c>
      <c r="X2" s="79">
        <f ca="1" t="shared" si="6" ref="X2:X18">INDIRECT(ADDRESS($M2,8))</f>
        <v>26801.47721317378</v>
      </c>
    </row>
    <row r="3" spans="1:24" s="11" customFormat="1" ht="12.75" hidden="1">
      <c r="A3" s="10"/>
      <c r="B3" t="s">
        <v>1</v>
      </c>
      <c r="D3" s="79">
        <f>Forecast!G6*Forecast!E7*Data!D1*(Forecast!G11*Data!I12+Data!I13*Forecast!G12+Forecast!G13*Data!I14+Forecast!G43/100+((350000-Forecast!G15)*0.00000006))</f>
        <v>25697.777871913815</v>
      </c>
      <c r="F3" s="78">
        <f aca="true" t="shared" si="7" ref="F3:F16">F2</f>
        <v>25697.777871913815</v>
      </c>
      <c r="H3" s="79">
        <f>Forecast!G6*Forecast!I7*Data!D1*(Forecast!G11*Data!I12+Data!I13*Forecast!G12+Forecast!G13*Data!I14+Forecast!G43/100+((350000-Forecast!G15)*0.00000006))</f>
        <v>25697.777871913815</v>
      </c>
      <c r="I3" s="11" t="str">
        <f ca="1" t="shared" si="0"/>
        <v>Class Utilization</v>
      </c>
      <c r="J3" s="16">
        <f ca="1" t="shared" si="8" ref="J3:J18">INDIRECT(ADDRESS(M3,4))-INDIRECT(ADDRESS(M3,6))</f>
        <v>51.25561562363873</v>
      </c>
      <c r="K3" s="16">
        <f ca="1" t="shared" si="1"/>
        <v>0</v>
      </c>
      <c r="L3" s="16">
        <f ca="1" t="shared" si="2"/>
        <v>893.7319616845089</v>
      </c>
      <c r="M3" s="78">
        <f>M2-1</f>
        <v>17</v>
      </c>
      <c r="N3" s="16" t="str">
        <f aca="true" t="shared" si="9" ref="N3:N18">I3</f>
        <v>Class Utilization</v>
      </c>
      <c r="O3" s="78">
        <f aca="true" t="shared" si="10" ref="O3:O18">IF(V3&gt;W3,W3,V3)</f>
        <v>25697.777871913815</v>
      </c>
      <c r="P3" s="78">
        <f t="shared" si="3"/>
        <v>51.25561562363873</v>
      </c>
      <c r="R3" s="79">
        <f aca="true" t="shared" si="11" ref="R3:R18">IF(X3&gt;W3,W3,X3)</f>
        <v>25697.777871913815</v>
      </c>
      <c r="S3" s="79">
        <f aca="true" t="shared" si="12" ref="S3:S18">IF($X3&gt;$W3,X3-W3,W3-X3)</f>
        <v>893.7319616845089</v>
      </c>
      <c r="V3" s="11">
        <f ca="1" t="shared" si="4"/>
        <v>25749.033487537454</v>
      </c>
      <c r="W3" s="79">
        <f ca="1" t="shared" si="5"/>
        <v>25697.777871913815</v>
      </c>
      <c r="X3" s="79">
        <f ca="1" t="shared" si="6"/>
        <v>26591.509833598324</v>
      </c>
    </row>
    <row r="4" spans="2:24" s="11" customFormat="1" ht="12.75" hidden="1">
      <c r="B4" t="s">
        <v>19</v>
      </c>
      <c r="D4" s="81">
        <f>Forecast!G6*Forecast!G7*Data!D1*(Forecast!E11*Data!I12+Data!I13*Forecast!G12+Forecast!G13*Data!I14+Forecast!G43/100+((350000-Forecast!G15)*0.00000006))</f>
        <v>25697.777871913815</v>
      </c>
      <c r="E4" s="10"/>
      <c r="F4" s="78">
        <f t="shared" si="7"/>
        <v>25697.777871913815</v>
      </c>
      <c r="G4" s="12"/>
      <c r="H4" s="81">
        <f>Forecast!G6*Forecast!G7*Data!D1*(Forecast!I11*Data!I12+Data!I13*Forecast!G12+Forecast!G13*Data!I14+Forecast!G43/100+((350000-Forecast!G15)*0.00000006))</f>
        <v>25697.777871913815</v>
      </c>
      <c r="I4" s="11" t="str">
        <f ca="1" t="shared" si="0"/>
        <v>Class I Differential</v>
      </c>
      <c r="J4" s="16">
        <f ca="1" t="shared" si="8"/>
        <v>407.23621742324394</v>
      </c>
      <c r="K4" s="16">
        <f ca="1" t="shared" si="1"/>
        <v>0</v>
      </c>
      <c r="L4" s="16">
        <f ca="1" t="shared" si="2"/>
        <v>407.23621742324394</v>
      </c>
      <c r="M4" s="78">
        <f aca="true" t="shared" si="13" ref="M4:M18">M3-1</f>
        <v>16</v>
      </c>
      <c r="N4" s="16" t="str">
        <f t="shared" si="9"/>
        <v>Class I Differential</v>
      </c>
      <c r="O4" s="78">
        <f t="shared" si="10"/>
        <v>25697.777871913815</v>
      </c>
      <c r="P4" s="78">
        <f t="shared" si="3"/>
        <v>407.23621742324394</v>
      </c>
      <c r="R4" s="79">
        <f t="shared" si="11"/>
        <v>25697.777871913815</v>
      </c>
      <c r="S4" s="79">
        <f t="shared" si="12"/>
        <v>407.23621742324394</v>
      </c>
      <c r="V4" s="11">
        <f ca="1" t="shared" si="4"/>
        <v>26105.01408933706</v>
      </c>
      <c r="W4" s="79">
        <f ca="1" t="shared" si="5"/>
        <v>25697.777871913815</v>
      </c>
      <c r="X4" s="79">
        <f ca="1" t="shared" si="6"/>
        <v>26105.01408933706</v>
      </c>
    </row>
    <row r="5" spans="2:24" s="11" customFormat="1" ht="12.75" hidden="1">
      <c r="B5" t="s">
        <v>20</v>
      </c>
      <c r="D5" s="16">
        <f>Forecast!G6*Forecast!G7*Data!D1*(Forecast!G11*Data!I12+Data!I13*Forecast!E12+Forecast!G13*Data!I14+Forecast!G43/100+((350000-Forecast!G15)*0.00000006))</f>
        <v>25697.777871913815</v>
      </c>
      <c r="F5" s="78">
        <f t="shared" si="7"/>
        <v>25697.777871913815</v>
      </c>
      <c r="H5" s="80">
        <f>Forecast!G6*Forecast!G7*Data!D1*(Forecast!G11*Data!I12+Data!I13*Forecast!I12+Forecast!G13*Data!I14+Forecast!G43/100+((350000-Forecast!G15)*0.00000006))</f>
        <v>25697.777871913815</v>
      </c>
      <c r="I5" s="11" t="str">
        <f ca="1" t="shared" si="0"/>
        <v>Two-Week Advance NFDM Price</v>
      </c>
      <c r="J5" s="16">
        <f ca="1" t="shared" si="8"/>
        <v>376.5563472579561</v>
      </c>
      <c r="K5" s="16">
        <f ca="1" t="shared" si="1"/>
        <v>0</v>
      </c>
      <c r="L5" s="16">
        <f ca="1" t="shared" si="2"/>
        <v>480.99327155257197</v>
      </c>
      <c r="M5" s="78">
        <f t="shared" si="13"/>
        <v>15</v>
      </c>
      <c r="N5" s="16" t="str">
        <f t="shared" si="9"/>
        <v>Two-Week Advance NFDM Price</v>
      </c>
      <c r="O5" s="78">
        <f t="shared" si="10"/>
        <v>25697.777871913815</v>
      </c>
      <c r="P5" s="78">
        <f t="shared" si="3"/>
        <v>376.5563472579561</v>
      </c>
      <c r="R5" s="79">
        <f t="shared" si="11"/>
        <v>25697.777871913815</v>
      </c>
      <c r="S5" s="79">
        <f t="shared" si="12"/>
        <v>480.99327155257197</v>
      </c>
      <c r="V5" s="11">
        <f ca="1" t="shared" si="4"/>
        <v>26074.33421917177</v>
      </c>
      <c r="W5" s="79">
        <f ca="1" t="shared" si="5"/>
        <v>25697.777871913815</v>
      </c>
      <c r="X5" s="79">
        <f ca="1" t="shared" si="6"/>
        <v>26178.771143466387</v>
      </c>
    </row>
    <row r="6" spans="2:24" s="11" customFormat="1" ht="12.75" hidden="1">
      <c r="B6" t="s">
        <v>21</v>
      </c>
      <c r="D6" s="16">
        <f>Forecast!G6*Forecast!G7*Data!D1*(Forecast!G11*Data!I12+Data!I13*Forecast!G12+Forecast!E13*Data!I14+Forecast!G43/100+((350000-Forecast!G15)*0.00000006))</f>
        <v>25697.777871913815</v>
      </c>
      <c r="F6" s="78">
        <f t="shared" si="7"/>
        <v>25697.777871913815</v>
      </c>
      <c r="G6" s="16"/>
      <c r="H6" s="80">
        <f>Forecast!G6*Forecast!G7*Data!D1*(Forecast!G11*Data!I12+Data!I13*Forecast!G12+Forecast!I13*Data!I14+Forecast!G43/100+((350000-Forecast!G15)*0.00000006))</f>
        <v>25697.777871913815</v>
      </c>
      <c r="I6" s="11" t="str">
        <f ca="1" t="shared" si="0"/>
        <v>Two-Week Advance Whey Price</v>
      </c>
      <c r="J6" s="16">
        <f ca="1" t="shared" si="8"/>
        <v>407.23621742324394</v>
      </c>
      <c r="K6" s="16">
        <f ca="1" t="shared" si="1"/>
        <v>0</v>
      </c>
      <c r="L6" s="16">
        <f ca="1" t="shared" si="2"/>
        <v>442.8088289934931</v>
      </c>
      <c r="M6" s="78">
        <f t="shared" si="13"/>
        <v>14</v>
      </c>
      <c r="N6" s="16" t="str">
        <f t="shared" si="9"/>
        <v>Two-Week Advance Whey Price</v>
      </c>
      <c r="O6" s="78">
        <f t="shared" si="10"/>
        <v>25697.777871913815</v>
      </c>
      <c r="P6" s="78">
        <f t="shared" si="3"/>
        <v>407.23621742324394</v>
      </c>
      <c r="R6" s="79">
        <f t="shared" si="11"/>
        <v>25697.777871913815</v>
      </c>
      <c r="S6" s="79">
        <f t="shared" si="12"/>
        <v>442.8088289934931</v>
      </c>
      <c r="V6" s="11">
        <f ca="1" t="shared" si="4"/>
        <v>26105.01408933706</v>
      </c>
      <c r="W6" s="79">
        <f ca="1" t="shared" si="5"/>
        <v>25697.777871913815</v>
      </c>
      <c r="X6" s="79">
        <f ca="1" t="shared" si="6"/>
        <v>26140.586700907308</v>
      </c>
    </row>
    <row r="7" spans="2:24" s="11" customFormat="1" ht="12.75" hidden="1">
      <c r="B7" s="76" t="s">
        <v>22</v>
      </c>
      <c r="D7" s="16">
        <f>Forecast!G6*Forecast!G7*Data!D1*(Forecast!G11*Data!I12+Data!I13*Forecast!G12+Forecast!G13*Data!I14+Forecast!G43/100+((350000-Forecast!E15)*0.00000006))</f>
        <v>25697.777871913815</v>
      </c>
      <c r="F7" s="78">
        <f t="shared" si="7"/>
        <v>25697.777871913815</v>
      </c>
      <c r="G7" s="16"/>
      <c r="H7" s="80">
        <f>Forecast!G6*Forecast!G7*Data!D1*(Forecast!G11*Data!I12+Data!I13*Forecast!G12+Forecast!G13*Data!I14+Forecast!G43/100+((350000-Forecast!I15)*0.00000006))</f>
        <v>25697.777871913815</v>
      </c>
      <c r="I7" s="11" t="str">
        <f ca="1" t="shared" si="0"/>
        <v>Two-Week Advance Cheese Price</v>
      </c>
      <c r="J7" s="16">
        <f ca="1" t="shared" si="8"/>
        <v>680.9360964999723</v>
      </c>
      <c r="K7" s="16">
        <f ca="1" t="shared" si="1"/>
        <v>0</v>
      </c>
      <c r="L7" s="16">
        <f ca="1" t="shared" si="2"/>
        <v>1025.7743543862853</v>
      </c>
      <c r="M7" s="78">
        <f t="shared" si="13"/>
        <v>13</v>
      </c>
      <c r="N7" s="16" t="str">
        <f t="shared" si="9"/>
        <v>Two-Week Advance Cheese Price</v>
      </c>
      <c r="O7" s="78">
        <f t="shared" si="10"/>
        <v>25697.777871913815</v>
      </c>
      <c r="P7" s="78">
        <f t="shared" si="3"/>
        <v>680.9360964999723</v>
      </c>
      <c r="R7" s="79">
        <f t="shared" si="11"/>
        <v>25697.777871913815</v>
      </c>
      <c r="S7" s="79">
        <f t="shared" si="12"/>
        <v>1025.7743543862853</v>
      </c>
      <c r="V7" s="11">
        <f ca="1" t="shared" si="4"/>
        <v>26378.713968413787</v>
      </c>
      <c r="W7" s="79">
        <f ca="1" t="shared" si="5"/>
        <v>25697.777871913815</v>
      </c>
      <c r="X7" s="79">
        <f ca="1" t="shared" si="6"/>
        <v>26723.5522263001</v>
      </c>
    </row>
    <row r="8" spans="2:24" s="11" customFormat="1" ht="12.75" hidden="1">
      <c r="B8" t="s">
        <v>56</v>
      </c>
      <c r="D8" s="16">
        <f ca="1">INDIRECT(ADDRESS(28,26+Risk!G8,,,"Data"))</f>
        <v>25674.300058507793</v>
      </c>
      <c r="F8" s="78">
        <f t="shared" si="7"/>
        <v>25697.777871913815</v>
      </c>
      <c r="G8" s="15">
        <v>1</v>
      </c>
      <c r="H8" s="80">
        <f ca="1">INDIRECT(ADDRESS(57,26+Risk!G8,,,"Data"))</f>
        <v>26535.728120166328</v>
      </c>
      <c r="I8" s="11" t="str">
        <f ca="1" t="shared" si="0"/>
        <v>Two-Week Advance Butter Price</v>
      </c>
      <c r="J8" s="16">
        <f ca="1" t="shared" si="8"/>
        <v>396.91182413544084</v>
      </c>
      <c r="K8" s="16">
        <f ca="1" t="shared" si="1"/>
        <v>0</v>
      </c>
      <c r="L8" s="16">
        <f ca="1" t="shared" si="2"/>
        <v>798.3534578940344</v>
      </c>
      <c r="M8" s="78">
        <f t="shared" si="13"/>
        <v>12</v>
      </c>
      <c r="N8" s="16" t="str">
        <f t="shared" si="9"/>
        <v>Two-Week Advance Butter Price</v>
      </c>
      <c r="O8" s="78">
        <f t="shared" si="10"/>
        <v>25697.777871913815</v>
      </c>
      <c r="P8" s="78">
        <f t="shared" si="3"/>
        <v>396.91182413544084</v>
      </c>
      <c r="R8" s="79">
        <f t="shared" si="11"/>
        <v>25697.777871913815</v>
      </c>
      <c r="S8" s="79">
        <f t="shared" si="12"/>
        <v>798.3534578940344</v>
      </c>
      <c r="V8" s="11">
        <f ca="1" t="shared" si="4"/>
        <v>26094.689696049256</v>
      </c>
      <c r="W8" s="79">
        <f ca="1" t="shared" si="5"/>
        <v>25697.777871913815</v>
      </c>
      <c r="X8" s="79">
        <f ca="1" t="shared" si="6"/>
        <v>26496.13132980785</v>
      </c>
    </row>
    <row r="9" spans="2:24" s="11" customFormat="1" ht="12.75" hidden="1">
      <c r="B9" t="s">
        <v>57</v>
      </c>
      <c r="D9" s="16">
        <f ca="1">INDIRECT(ADDRESS(28,26+Risk!G9,,,"Data"))</f>
        <v>26365.2446611355</v>
      </c>
      <c r="F9" s="78">
        <f t="shared" si="7"/>
        <v>25697.777871913815</v>
      </c>
      <c r="G9" s="51">
        <f aca="true" t="shared" si="14" ref="G9:G18">G8+1</f>
        <v>2</v>
      </c>
      <c r="H9" s="80">
        <f ca="1">INDIRECT(ADDRESS(57,26+Risk!G9,,,"Data"))</f>
        <v>25571.881576068823</v>
      </c>
      <c r="I9" s="11" t="str">
        <f ca="1" t="shared" si="0"/>
        <v>Non-Fat Dry Milk Price</v>
      </c>
      <c r="J9" s="16">
        <f ca="1" t="shared" si="8"/>
        <v>407.23621742324394</v>
      </c>
      <c r="K9" s="16">
        <f ca="1" t="shared" si="1"/>
        <v>0</v>
      </c>
      <c r="L9" s="16">
        <f ca="1" t="shared" si="2"/>
        <v>407.23621742324394</v>
      </c>
      <c r="M9" s="78">
        <f t="shared" si="13"/>
        <v>11</v>
      </c>
      <c r="N9" s="16" t="str">
        <f t="shared" si="9"/>
        <v>Non-Fat Dry Milk Price</v>
      </c>
      <c r="O9" s="78">
        <f t="shared" si="10"/>
        <v>25697.777871913815</v>
      </c>
      <c r="P9" s="78">
        <f t="shared" si="3"/>
        <v>407.23621742324394</v>
      </c>
      <c r="R9" s="79">
        <f t="shared" si="11"/>
        <v>25697.777871913815</v>
      </c>
      <c r="S9" s="79">
        <f t="shared" si="12"/>
        <v>407.23621742324394</v>
      </c>
      <c r="V9" s="11">
        <f ca="1" t="shared" si="4"/>
        <v>26105.01408933706</v>
      </c>
      <c r="W9" s="79">
        <f ca="1" t="shared" si="5"/>
        <v>25697.777871913815</v>
      </c>
      <c r="X9" s="79">
        <f ca="1" t="shared" si="6"/>
        <v>26105.01408933706</v>
      </c>
    </row>
    <row r="10" spans="2:24" s="11" customFormat="1" ht="12.75" hidden="1">
      <c r="B10" t="s">
        <v>58</v>
      </c>
      <c r="D10" s="16">
        <f ca="1">INDIRECT(ADDRESS(28,26+Risk!G10,,,"Data"))</f>
        <v>26158.78950177507</v>
      </c>
      <c r="F10" s="78">
        <f t="shared" si="7"/>
        <v>25697.777871913815</v>
      </c>
      <c r="G10" s="51">
        <f t="shared" si="14"/>
        <v>3</v>
      </c>
      <c r="H10" s="80">
        <f ca="1">INDIRECT(ADDRESS(57,26+Risk!G10,,,"Data"))</f>
        <v>26324.5055686759</v>
      </c>
      <c r="I10" s="11" t="str">
        <f ca="1" t="shared" si="0"/>
        <v>Whey Price</v>
      </c>
      <c r="J10" s="16">
        <f ca="1" t="shared" si="8"/>
        <v>461.01162986125564</v>
      </c>
      <c r="K10" s="16">
        <f ca="1" t="shared" si="1"/>
        <v>0</v>
      </c>
      <c r="L10" s="16">
        <f ca="1" t="shared" si="2"/>
        <v>626.7276967620855</v>
      </c>
      <c r="M10" s="78">
        <f t="shared" si="13"/>
        <v>10</v>
      </c>
      <c r="N10" s="16" t="str">
        <f t="shared" si="9"/>
        <v>Whey Price</v>
      </c>
      <c r="O10" s="78">
        <f t="shared" si="10"/>
        <v>25697.777871913815</v>
      </c>
      <c r="P10" s="78">
        <f t="shared" si="3"/>
        <v>461.01162986125564</v>
      </c>
      <c r="R10" s="79">
        <f t="shared" si="11"/>
        <v>25697.777871913815</v>
      </c>
      <c r="S10" s="79">
        <f t="shared" si="12"/>
        <v>626.7276967620855</v>
      </c>
      <c r="V10" s="11">
        <f ca="1" t="shared" si="4"/>
        <v>26158.78950177507</v>
      </c>
      <c r="W10" s="79">
        <f ca="1" t="shared" si="5"/>
        <v>25697.777871913815</v>
      </c>
      <c r="X10" s="79">
        <f ca="1" t="shared" si="6"/>
        <v>26324.5055686759</v>
      </c>
    </row>
    <row r="11" spans="2:24" s="11" customFormat="1" ht="12.75" hidden="1">
      <c r="B11" t="s">
        <v>59</v>
      </c>
      <c r="D11" s="16">
        <f ca="1">INDIRECT(ADDRESS(28,26+Risk!G11,,,"Data"))</f>
        <v>26105.01408933706</v>
      </c>
      <c r="F11" s="78">
        <f t="shared" si="7"/>
        <v>25697.777871913815</v>
      </c>
      <c r="G11" s="51">
        <f t="shared" si="14"/>
        <v>4</v>
      </c>
      <c r="H11" s="80">
        <f ca="1">INDIRECT(ADDRESS(57,26+Risk!G11,,,"Data"))</f>
        <v>26105.01408933706</v>
      </c>
      <c r="I11" s="11" t="str">
        <f ca="1" t="shared" si="0"/>
        <v>Cheese Price</v>
      </c>
      <c r="J11" s="16">
        <f ca="1" t="shared" si="8"/>
        <v>667.4667892216858</v>
      </c>
      <c r="K11" s="16">
        <f ca="1" t="shared" si="1"/>
        <v>0</v>
      </c>
      <c r="L11" s="16">
        <f ca="1" t="shared" si="2"/>
        <v>-125.89629584499198</v>
      </c>
      <c r="M11" s="78">
        <f t="shared" si="13"/>
        <v>9</v>
      </c>
      <c r="N11" s="16" t="str">
        <f t="shared" si="9"/>
        <v>Cheese Price</v>
      </c>
      <c r="O11" s="78">
        <f t="shared" si="10"/>
        <v>25697.777871913815</v>
      </c>
      <c r="P11" s="78">
        <f t="shared" si="3"/>
        <v>667.4667892216858</v>
      </c>
      <c r="R11" s="79">
        <f t="shared" si="11"/>
        <v>25571.881576068823</v>
      </c>
      <c r="S11" s="79">
        <f t="shared" si="12"/>
        <v>125.89629584499198</v>
      </c>
      <c r="V11" s="11">
        <f ca="1" t="shared" si="4"/>
        <v>26365.2446611355</v>
      </c>
      <c r="W11" s="79">
        <f ca="1" t="shared" si="5"/>
        <v>25697.777871913815</v>
      </c>
      <c r="X11" s="79">
        <f ca="1" t="shared" si="6"/>
        <v>25571.881576068823</v>
      </c>
    </row>
    <row r="12" spans="2:24" s="11" customFormat="1" ht="12.75" hidden="1">
      <c r="B12" t="s">
        <v>82</v>
      </c>
      <c r="D12" s="16">
        <f ca="1">INDIRECT(ADDRESS(28,26+Risk!G12,,,"Data"))</f>
        <v>26094.689696049256</v>
      </c>
      <c r="F12" s="78">
        <f t="shared" si="7"/>
        <v>25697.777871913815</v>
      </c>
      <c r="G12" s="51">
        <f t="shared" si="14"/>
        <v>5</v>
      </c>
      <c r="H12" s="80">
        <f ca="1">INDIRECT(ADDRESS(57,26+Risk!G12,,,"Data"))</f>
        <v>26496.13132980785</v>
      </c>
      <c r="I12" s="11" t="str">
        <f ca="1" t="shared" si="0"/>
        <v>Butter Price</v>
      </c>
      <c r="J12" s="16">
        <f ca="1" t="shared" si="8"/>
        <v>-23.477813406021596</v>
      </c>
      <c r="K12" s="16">
        <f ca="1" t="shared" si="1"/>
        <v>0</v>
      </c>
      <c r="L12" s="16">
        <f ca="1" t="shared" si="2"/>
        <v>837.9502482525131</v>
      </c>
      <c r="M12" s="78">
        <f t="shared" si="13"/>
        <v>8</v>
      </c>
      <c r="N12" s="16" t="str">
        <f t="shared" si="9"/>
        <v>Butter Price</v>
      </c>
      <c r="O12" s="78">
        <f t="shared" si="10"/>
        <v>25674.300058507793</v>
      </c>
      <c r="P12" s="78">
        <f t="shared" si="3"/>
        <v>23.477813406021596</v>
      </c>
      <c r="R12" s="79">
        <f t="shared" si="11"/>
        <v>25697.777871913815</v>
      </c>
      <c r="S12" s="79">
        <f t="shared" si="12"/>
        <v>837.9502482525131</v>
      </c>
      <c r="V12" s="11">
        <f ca="1" t="shared" si="4"/>
        <v>25674.300058507793</v>
      </c>
      <c r="W12" s="79">
        <f ca="1" t="shared" si="5"/>
        <v>25697.777871913815</v>
      </c>
      <c r="X12" s="79">
        <f ca="1" t="shared" si="6"/>
        <v>26535.728120166328</v>
      </c>
    </row>
    <row r="13" spans="2:24" s="11" customFormat="1" ht="12.75" hidden="1">
      <c r="B13" t="s">
        <v>83</v>
      </c>
      <c r="D13" s="16">
        <f ca="1">INDIRECT(ADDRESS(28,26+Risk!G13,,,"Data"))</f>
        <v>26378.713968413787</v>
      </c>
      <c r="F13" s="78">
        <f t="shared" si="7"/>
        <v>25697.777871913815</v>
      </c>
      <c r="G13" s="51">
        <f t="shared" si="14"/>
        <v>6</v>
      </c>
      <c r="H13" s="80">
        <f ca="1">INDIRECT(ADDRESS(57,26+Risk!G13,,,"Data"))</f>
        <v>26723.5522263001</v>
      </c>
      <c r="I13" s="11" t="str">
        <f ca="1" t="shared" si="0"/>
        <v>Somatic Cell Count</v>
      </c>
      <c r="J13" s="16">
        <f ca="1" t="shared" si="8"/>
        <v>0</v>
      </c>
      <c r="K13" s="16">
        <f ca="1" t="shared" si="1"/>
        <v>0</v>
      </c>
      <c r="L13" s="16">
        <f ca="1" t="shared" si="2"/>
        <v>0</v>
      </c>
      <c r="M13" s="78">
        <f t="shared" si="13"/>
        <v>7</v>
      </c>
      <c r="N13" s="16" t="str">
        <f t="shared" si="9"/>
        <v>Somatic Cell Count</v>
      </c>
      <c r="O13" s="78">
        <f t="shared" si="10"/>
        <v>25697.777871913815</v>
      </c>
      <c r="P13" s="78">
        <f t="shared" si="3"/>
        <v>0</v>
      </c>
      <c r="R13" s="79">
        <f t="shared" si="11"/>
        <v>25697.777871913815</v>
      </c>
      <c r="S13" s="79">
        <f t="shared" si="12"/>
        <v>0</v>
      </c>
      <c r="V13" s="11">
        <f ca="1" t="shared" si="4"/>
        <v>25697.777871913815</v>
      </c>
      <c r="W13" s="79">
        <f ca="1" t="shared" si="5"/>
        <v>25697.777871913815</v>
      </c>
      <c r="X13" s="79">
        <f ca="1" t="shared" si="6"/>
        <v>25697.777871913815</v>
      </c>
    </row>
    <row r="14" spans="2:24" s="11" customFormat="1" ht="12.75" hidden="1">
      <c r="B14" t="s">
        <v>84</v>
      </c>
      <c r="D14" s="16">
        <f ca="1">INDIRECT(ADDRESS(28,26+Risk!G14,,,"Data"))</f>
        <v>26105.01408933706</v>
      </c>
      <c r="F14" s="78">
        <f t="shared" si="7"/>
        <v>25697.777871913815</v>
      </c>
      <c r="G14" s="51">
        <f t="shared" si="14"/>
        <v>7</v>
      </c>
      <c r="H14" s="80">
        <f ca="1">INDIRECT(ADDRESS(57,26+Risk!G14,,,"Data"))</f>
        <v>26140.586700907308</v>
      </c>
      <c r="I14" s="11" t="str">
        <f ca="1" t="shared" si="0"/>
        <v>Other Solids %</v>
      </c>
      <c r="J14" s="16">
        <f ca="1" t="shared" si="8"/>
        <v>0</v>
      </c>
      <c r="K14" s="16">
        <f ca="1" t="shared" si="1"/>
        <v>0</v>
      </c>
      <c r="L14" s="16">
        <f ca="1" t="shared" si="2"/>
        <v>0</v>
      </c>
      <c r="M14" s="78">
        <f t="shared" si="13"/>
        <v>6</v>
      </c>
      <c r="N14" s="16" t="str">
        <f t="shared" si="9"/>
        <v>Other Solids %</v>
      </c>
      <c r="O14" s="78">
        <f t="shared" si="10"/>
        <v>25697.777871913815</v>
      </c>
      <c r="P14" s="78">
        <f t="shared" si="3"/>
        <v>0</v>
      </c>
      <c r="R14" s="79">
        <f t="shared" si="11"/>
        <v>25697.777871913815</v>
      </c>
      <c r="S14" s="79">
        <f t="shared" si="12"/>
        <v>0</v>
      </c>
      <c r="V14" s="11">
        <f ca="1" t="shared" si="4"/>
        <v>25697.777871913815</v>
      </c>
      <c r="W14" s="79">
        <f ca="1" t="shared" si="5"/>
        <v>25697.777871913815</v>
      </c>
      <c r="X14" s="79">
        <f ca="1" t="shared" si="6"/>
        <v>25697.777871913815</v>
      </c>
    </row>
    <row r="15" spans="2:24" s="11" customFormat="1" ht="12.75" hidden="1">
      <c r="B15" t="s">
        <v>76</v>
      </c>
      <c r="D15" s="16">
        <f ca="1">INDIRECT(ADDRESS(28,26+Risk!G15,,,"Data"))</f>
        <v>26074.33421917177</v>
      </c>
      <c r="F15" s="78">
        <f t="shared" si="7"/>
        <v>25697.777871913815</v>
      </c>
      <c r="G15" s="51">
        <f t="shared" si="14"/>
        <v>8</v>
      </c>
      <c r="H15" s="80">
        <f ca="1">INDIRECT(ADDRESS(57,26+Risk!G15,,,"Data"))</f>
        <v>26178.771143466387</v>
      </c>
      <c r="I15" s="11" t="str">
        <f ca="1" t="shared" si="0"/>
        <v>Protein %</v>
      </c>
      <c r="J15" s="16">
        <f ca="1" t="shared" si="8"/>
        <v>0</v>
      </c>
      <c r="K15" s="16">
        <f ca="1" t="shared" si="1"/>
        <v>0</v>
      </c>
      <c r="L15" s="16">
        <f ca="1" t="shared" si="2"/>
        <v>0</v>
      </c>
      <c r="M15" s="78">
        <f t="shared" si="13"/>
        <v>5</v>
      </c>
      <c r="N15" s="16" t="str">
        <f t="shared" si="9"/>
        <v>Protein %</v>
      </c>
      <c r="O15" s="78">
        <f t="shared" si="10"/>
        <v>25697.777871913815</v>
      </c>
      <c r="P15" s="78">
        <f t="shared" si="3"/>
        <v>0</v>
      </c>
      <c r="R15" s="79">
        <f t="shared" si="11"/>
        <v>25697.777871913815</v>
      </c>
      <c r="S15" s="79">
        <f t="shared" si="12"/>
        <v>0</v>
      </c>
      <c r="V15" s="11">
        <f ca="1" t="shared" si="4"/>
        <v>25697.777871913815</v>
      </c>
      <c r="W15" s="79">
        <f ca="1" t="shared" si="5"/>
        <v>25697.777871913815</v>
      </c>
      <c r="X15" s="79">
        <f ca="1" t="shared" si="6"/>
        <v>25697.777871913815</v>
      </c>
    </row>
    <row r="16" spans="2:24" s="11" customFormat="1" ht="12.75" hidden="1">
      <c r="B16" s="76" t="s">
        <v>93</v>
      </c>
      <c r="D16" s="16">
        <f ca="1">INDIRECT(ADDRESS(28,26+Risk!G16,,,"Data"))</f>
        <v>26105.01408933706</v>
      </c>
      <c r="F16" s="78">
        <f t="shared" si="7"/>
        <v>25697.777871913815</v>
      </c>
      <c r="G16" s="51">
        <f t="shared" si="14"/>
        <v>9</v>
      </c>
      <c r="H16" s="80">
        <f ca="1">INDIRECT(ADDRESS(57,26+Risk!G16,,,"Data"))</f>
        <v>26105.01408933706</v>
      </c>
      <c r="I16" s="11" t="str">
        <f ca="1" t="shared" si="0"/>
        <v>Fat %</v>
      </c>
      <c r="J16" s="16">
        <f ca="1" t="shared" si="8"/>
        <v>0</v>
      </c>
      <c r="K16" s="16">
        <f ca="1" t="shared" si="1"/>
        <v>0</v>
      </c>
      <c r="L16" s="16">
        <f ca="1" t="shared" si="2"/>
        <v>0</v>
      </c>
      <c r="M16" s="78">
        <f t="shared" si="13"/>
        <v>4</v>
      </c>
      <c r="N16" s="16" t="str">
        <f t="shared" si="9"/>
        <v>Fat %</v>
      </c>
      <c r="O16" s="78">
        <f t="shared" si="10"/>
        <v>25697.777871913815</v>
      </c>
      <c r="P16" s="78">
        <f t="shared" si="3"/>
        <v>0</v>
      </c>
      <c r="R16" s="79">
        <f t="shared" si="11"/>
        <v>25697.777871913815</v>
      </c>
      <c r="S16" s="79">
        <f t="shared" si="12"/>
        <v>0</v>
      </c>
      <c r="V16" s="11">
        <f ca="1" t="shared" si="4"/>
        <v>25697.777871913815</v>
      </c>
      <c r="W16" s="79">
        <f ca="1" t="shared" si="5"/>
        <v>25697.777871913815</v>
      </c>
      <c r="X16" s="79">
        <f ca="1" t="shared" si="6"/>
        <v>25697.777871913815</v>
      </c>
    </row>
    <row r="17" spans="2:24" s="11" customFormat="1" ht="12.75" hidden="1">
      <c r="B17" s="11" t="s">
        <v>153</v>
      </c>
      <c r="D17" s="79">
        <f>Forecast!G6*Forecast!G7*Data!D1*(Forecast!G11*Data!I12+Data!I13*Forecast!G12+Forecast!G13*Data!I14+Forecast!E43/100+((350000-Forecast!G15)*0.00000006))</f>
        <v>25749.033487537454</v>
      </c>
      <c r="F17" s="78">
        <f>Forecast!G6*Forecast!G7*Data!D1*(Forecast!G11*Data!I12+Data!I13*Forecast!G12+Forecast!G13*Data!I14+Forecast!G43/100+((350000-Forecast!G15)*0.00000006))</f>
        <v>25697.777871913815</v>
      </c>
      <c r="G17" s="51">
        <f t="shared" si="14"/>
        <v>10</v>
      </c>
      <c r="H17" s="80">
        <f>Forecast!G6*Forecast!G7*Data!D1*(Forecast!G11*Data!I12+Data!I13*Forecast!G12+Forecast!G13*Data!I14+Forecast!I43/100+((350000-Forecast!G15)*0.00000006))</f>
        <v>26591.509833598324</v>
      </c>
      <c r="I17" s="11" t="str">
        <f ca="1" t="shared" si="0"/>
        <v>Average Daily Production (Lbs.)</v>
      </c>
      <c r="J17" s="16">
        <f ca="1" t="shared" si="8"/>
        <v>0</v>
      </c>
      <c r="K17" s="16">
        <f ca="1" t="shared" si="1"/>
        <v>0</v>
      </c>
      <c r="L17" s="16">
        <f ca="1" t="shared" si="2"/>
        <v>0</v>
      </c>
      <c r="M17" s="78">
        <f t="shared" si="13"/>
        <v>3</v>
      </c>
      <c r="N17" s="16" t="str">
        <f t="shared" si="9"/>
        <v>Average Daily Production (Lbs.)</v>
      </c>
      <c r="O17" s="78">
        <f t="shared" si="10"/>
        <v>25697.777871913815</v>
      </c>
      <c r="P17" s="78">
        <f t="shared" si="3"/>
        <v>0</v>
      </c>
      <c r="R17" s="79">
        <f t="shared" si="11"/>
        <v>25697.777871913815</v>
      </c>
      <c r="S17" s="79">
        <f t="shared" si="12"/>
        <v>0</v>
      </c>
      <c r="V17" s="11">
        <f ca="1" t="shared" si="4"/>
        <v>25697.777871913815</v>
      </c>
      <c r="W17" s="79">
        <f ca="1" t="shared" si="5"/>
        <v>25697.777871913815</v>
      </c>
      <c r="X17" s="79">
        <f ca="1" t="shared" si="6"/>
        <v>25697.777871913815</v>
      </c>
    </row>
    <row r="18" spans="2:24" s="11" customFormat="1" ht="12.75" hidden="1">
      <c r="B18" s="77" t="s">
        <v>152</v>
      </c>
      <c r="D18" s="16">
        <f>Forecast!E6*Forecast!E7*Data!D1*(Forecast!E11*Data!G12+Data!G13*Forecast!E12+Forecast!E13*Data!G14+Forecast!E43/100+((350000-Forecast!E15)*0.00000006))</f>
        <v>25555.14925892973</v>
      </c>
      <c r="F18" s="78">
        <f>F7</f>
        <v>25697.777871913815</v>
      </c>
      <c r="G18" s="51">
        <f t="shared" si="14"/>
        <v>11</v>
      </c>
      <c r="H18" s="16">
        <f>Forecast!I6*Forecast!I7*Data!D1*(Forecast!I11*Data!K12+Data!K13*Forecast!I12+Forecast!I13*Data!K14+Forecast!I43/100+((350000-Forecast!I15)*0.00000006))</f>
        <v>26801.47721317378</v>
      </c>
      <c r="I18" s="11" t="str">
        <f ca="1" t="shared" si="0"/>
        <v>Average Number of Cows</v>
      </c>
      <c r="J18" s="16">
        <f ca="1" t="shared" si="8"/>
        <v>0</v>
      </c>
      <c r="K18" s="16">
        <f ca="1" t="shared" si="1"/>
        <v>0</v>
      </c>
      <c r="L18" s="16">
        <f ca="1" t="shared" si="2"/>
        <v>0</v>
      </c>
      <c r="M18" s="78">
        <f t="shared" si="13"/>
        <v>2</v>
      </c>
      <c r="N18" s="16" t="str">
        <f t="shared" si="9"/>
        <v>Average Number of Cows</v>
      </c>
      <c r="O18" s="78">
        <f t="shared" si="10"/>
        <v>25697.777871913815</v>
      </c>
      <c r="P18" s="78">
        <f t="shared" si="3"/>
        <v>0</v>
      </c>
      <c r="R18" s="79">
        <f t="shared" si="11"/>
        <v>25697.777871913815</v>
      </c>
      <c r="S18" s="79">
        <f t="shared" si="12"/>
        <v>0</v>
      </c>
      <c r="V18" s="11">
        <f ca="1" t="shared" si="4"/>
        <v>25697.777871913815</v>
      </c>
      <c r="W18" s="79">
        <f ca="1" t="shared" si="5"/>
        <v>25697.777871913815</v>
      </c>
      <c r="X18" s="79">
        <f ca="1" t="shared" si="6"/>
        <v>25697.777871913815</v>
      </c>
    </row>
    <row r="19" spans="2:24" s="11" customFormat="1" ht="12.75" hidden="1">
      <c r="B19" s="77"/>
      <c r="D19" s="16"/>
      <c r="F19" s="78"/>
      <c r="H19" s="16"/>
      <c r="J19" s="16"/>
      <c r="K19" s="16"/>
      <c r="L19" s="16"/>
      <c r="M19" s="78"/>
      <c r="N19" s="78"/>
      <c r="W19" s="79"/>
      <c r="X19" s="79"/>
    </row>
    <row r="20" spans="2:24" s="11" customFormat="1" ht="12.75" hidden="1">
      <c r="B20" s="77"/>
      <c r="D20" s="16"/>
      <c r="F20" s="78"/>
      <c r="H20" s="16"/>
      <c r="J20" s="16"/>
      <c r="K20" s="16"/>
      <c r="L20" s="16"/>
      <c r="M20" s="78"/>
      <c r="N20" s="78"/>
      <c r="W20" s="79"/>
      <c r="X20" s="79"/>
    </row>
    <row r="21" spans="2:24" s="11" customFormat="1" ht="12.75" hidden="1">
      <c r="B21" s="77"/>
      <c r="D21" s="16"/>
      <c r="F21" s="78"/>
      <c r="H21" s="16"/>
      <c r="J21" s="16"/>
      <c r="K21" s="16"/>
      <c r="L21" s="16"/>
      <c r="M21" s="78"/>
      <c r="N21" s="78"/>
      <c r="W21" s="79"/>
      <c r="X21" s="79"/>
    </row>
    <row r="22" spans="2:24" s="11" customFormat="1" ht="12.75" hidden="1">
      <c r="B22" s="77"/>
      <c r="D22" s="16"/>
      <c r="F22" s="78"/>
      <c r="H22" s="16"/>
      <c r="J22" s="16"/>
      <c r="K22" s="16"/>
      <c r="L22" s="16"/>
      <c r="M22" s="78"/>
      <c r="N22" s="78"/>
      <c r="W22" s="79"/>
      <c r="X22" s="79"/>
    </row>
    <row r="23" spans="2:24" s="11" customFormat="1" ht="12.75" hidden="1">
      <c r="B23" s="77"/>
      <c r="D23" s="16"/>
      <c r="F23" s="78"/>
      <c r="H23" s="16"/>
      <c r="J23" s="16"/>
      <c r="K23" s="16"/>
      <c r="L23" s="16"/>
      <c r="M23" s="78"/>
      <c r="N23" s="78"/>
      <c r="W23" s="79"/>
      <c r="X23" s="79"/>
    </row>
    <row r="24" spans="2:24" s="11" customFormat="1" ht="12.75" hidden="1">
      <c r="B24" s="77"/>
      <c r="D24" s="16"/>
      <c r="F24" s="78"/>
      <c r="H24" s="16"/>
      <c r="J24" s="16"/>
      <c r="K24" s="16"/>
      <c r="L24" s="16"/>
      <c r="M24" s="78"/>
      <c r="N24" s="78"/>
      <c r="W24" s="79"/>
      <c r="X24" s="79"/>
    </row>
    <row r="25" spans="2:24" s="11" customFormat="1" ht="12.75" hidden="1">
      <c r="B25" s="77"/>
      <c r="D25" s="16"/>
      <c r="F25" s="78"/>
      <c r="H25" s="16"/>
      <c r="J25" s="16"/>
      <c r="L25" s="78"/>
      <c r="N25" s="78"/>
      <c r="O25" s="78"/>
      <c r="W25" s="79"/>
      <c r="X25" s="79"/>
    </row>
    <row r="26" spans="1:15" ht="12.75" hidden="1">
      <c r="A26" s="11"/>
      <c r="B26" s="77"/>
      <c r="C26" s="11"/>
      <c r="D26" s="16"/>
      <c r="E26" s="11"/>
      <c r="F26" s="78"/>
      <c r="G26" s="11"/>
      <c r="H26" s="16"/>
      <c r="J26" s="16"/>
      <c r="L26" s="78"/>
      <c r="N26" s="78"/>
      <c r="O26" s="78"/>
    </row>
    <row r="27" spans="1:15" ht="12.75" hidden="1">
      <c r="A27" s="11"/>
      <c r="B27" s="11"/>
      <c r="C27" s="11"/>
      <c r="D27" s="11"/>
      <c r="E27" s="11"/>
      <c r="F27" s="11"/>
      <c r="G27" s="11"/>
      <c r="H27" s="11"/>
      <c r="J27" s="16"/>
      <c r="L27" s="78"/>
      <c r="N27" s="78"/>
      <c r="O27" s="78"/>
    </row>
    <row r="28" ht="12.75" hidden="1"/>
    <row r="29" ht="12.75" hidden="1"/>
    <row r="30" spans="12:15" ht="12.75" hidden="1">
      <c r="L30" s="61"/>
      <c r="N30" s="61"/>
      <c r="O30" s="61"/>
    </row>
    <row r="31" spans="12:16" ht="12.75" hidden="1">
      <c r="L31" s="61"/>
      <c r="N31" s="61"/>
      <c r="O31" s="61"/>
      <c r="P31" s="61"/>
    </row>
    <row r="32" spans="12:16" ht="12.75" hidden="1">
      <c r="L32" s="61"/>
      <c r="N32" s="61"/>
      <c r="O32" s="61"/>
      <c r="P32" s="61"/>
    </row>
    <row r="33" spans="12:16" ht="12.75" hidden="1">
      <c r="L33" s="61"/>
      <c r="N33" s="61"/>
      <c r="O33" s="61"/>
      <c r="P33" s="61"/>
    </row>
    <row r="34" spans="12:16" ht="12.75" hidden="1">
      <c r="L34" s="61"/>
      <c r="N34" s="61"/>
      <c r="O34" s="61"/>
      <c r="P34" s="61"/>
    </row>
    <row r="35" spans="12:16" ht="12.75" hidden="1">
      <c r="L35" s="61"/>
      <c r="N35" s="61"/>
      <c r="O35" s="61"/>
      <c r="P35" s="61"/>
    </row>
    <row r="36" spans="14:16" ht="12.75" hidden="1">
      <c r="N36" s="61"/>
      <c r="O36" s="61"/>
      <c r="P36" s="61"/>
    </row>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spans="10:24" ht="12.75" hidden="1">
      <c r="J58"/>
      <c r="W58"/>
      <c r="X58"/>
    </row>
    <row r="59" spans="10:24" ht="12.75" hidden="1">
      <c r="J59"/>
      <c r="W59"/>
      <c r="X59"/>
    </row>
    <row r="60" spans="10:24" ht="12.75" hidden="1">
      <c r="J60"/>
      <c r="W60"/>
      <c r="X60"/>
    </row>
    <row r="61" spans="10:24" ht="12.75" hidden="1">
      <c r="J61"/>
      <c r="W61"/>
      <c r="X61"/>
    </row>
    <row r="62" spans="10:24" ht="12.75" hidden="1">
      <c r="J62"/>
      <c r="W62"/>
      <c r="X62"/>
    </row>
    <row r="63" spans="10:24" ht="12.75" hidden="1">
      <c r="J63"/>
      <c r="W63"/>
      <c r="X63"/>
    </row>
    <row r="64" spans="1:24" s="105" customFormat="1" ht="12.75">
      <c r="A64" s="10" t="s">
        <v>243</v>
      </c>
      <c r="D64" s="107"/>
      <c r="E64" s="107"/>
      <c r="F64" s="107"/>
      <c r="G64" s="107"/>
      <c r="H64" s="107"/>
      <c r="I64" s="106"/>
      <c r="J64" s="108"/>
      <c r="W64" s="109"/>
      <c r="X64" s="109"/>
    </row>
    <row r="65" spans="1:24" s="105" customFormat="1" ht="12.75">
      <c r="A65" s="106"/>
      <c r="D65" s="107"/>
      <c r="E65" s="107"/>
      <c r="F65" s="107"/>
      <c r="G65" s="107"/>
      <c r="H65" s="107"/>
      <c r="I65" s="106"/>
      <c r="J65" s="108"/>
      <c r="W65" s="109"/>
      <c r="X65" s="109"/>
    </row>
    <row r="66" spans="1:10" ht="12.75">
      <c r="A66" s="6" t="s">
        <v>241</v>
      </c>
      <c r="D66" s="98" t="s">
        <v>63</v>
      </c>
      <c r="E66" s="99"/>
      <c r="F66" s="100" t="s">
        <v>53</v>
      </c>
      <c r="G66" s="99"/>
      <c r="H66" s="101" t="s">
        <v>62</v>
      </c>
      <c r="I66" s="6"/>
      <c r="J66" s="97" t="s">
        <v>30</v>
      </c>
    </row>
    <row r="67" spans="2:13" ht="12.75">
      <c r="B67" t="str">
        <f>B2</f>
        <v>Average Number of Cows</v>
      </c>
      <c r="D67" s="56">
        <f>D2</f>
        <v>25697.777871913815</v>
      </c>
      <c r="E67" s="56"/>
      <c r="F67" s="56">
        <f>F2</f>
        <v>25697.777871913815</v>
      </c>
      <c r="G67" s="56"/>
      <c r="H67" s="56">
        <f>H2</f>
        <v>25697.777871913815</v>
      </c>
      <c r="J67" s="17">
        <f>ABS(H67-D67)</f>
        <v>0</v>
      </c>
      <c r="K67" s="61"/>
      <c r="L67" s="61"/>
      <c r="M67" s="61"/>
    </row>
    <row r="68" spans="2:13" ht="12.75">
      <c r="B68" t="str">
        <f aca="true" t="shared" si="15" ref="B68:B82">B3</f>
        <v>Average Daily Production (Lbs.)</v>
      </c>
      <c r="D68" s="56">
        <f aca="true" t="shared" si="16" ref="D68:D82">D3</f>
        <v>25697.777871913815</v>
      </c>
      <c r="E68" s="56"/>
      <c r="F68" s="56">
        <f aca="true" t="shared" si="17" ref="F68:F82">F3</f>
        <v>25697.777871913815</v>
      </c>
      <c r="G68" s="56"/>
      <c r="H68" s="56">
        <f aca="true" t="shared" si="18" ref="H68:H82">H3</f>
        <v>25697.777871913815</v>
      </c>
      <c r="J68" s="17">
        <f aca="true" t="shared" si="19" ref="J68:J82">ABS(H68-D68)</f>
        <v>0</v>
      </c>
      <c r="K68" s="61"/>
      <c r="L68" s="61"/>
      <c r="M68" s="61"/>
    </row>
    <row r="69" spans="2:13" ht="12.75">
      <c r="B69" t="str">
        <f t="shared" si="15"/>
        <v>Fat %</v>
      </c>
      <c r="D69" s="56">
        <f t="shared" si="16"/>
        <v>25697.777871913815</v>
      </c>
      <c r="E69" s="56"/>
      <c r="F69" s="56">
        <f t="shared" si="17"/>
        <v>25697.777871913815</v>
      </c>
      <c r="G69" s="56"/>
      <c r="H69" s="56">
        <f t="shared" si="18"/>
        <v>25697.777871913815</v>
      </c>
      <c r="J69" s="17">
        <f t="shared" si="19"/>
        <v>0</v>
      </c>
      <c r="K69" s="61"/>
      <c r="L69" s="61"/>
      <c r="M69" s="61"/>
    </row>
    <row r="70" spans="2:13" ht="12.75">
      <c r="B70" t="str">
        <f t="shared" si="15"/>
        <v>Protein %</v>
      </c>
      <c r="D70" s="56">
        <f t="shared" si="16"/>
        <v>25697.777871913815</v>
      </c>
      <c r="E70" s="56"/>
      <c r="F70" s="56">
        <f t="shared" si="17"/>
        <v>25697.777871913815</v>
      </c>
      <c r="G70" s="56"/>
      <c r="H70" s="56">
        <f t="shared" si="18"/>
        <v>25697.777871913815</v>
      </c>
      <c r="J70" s="17">
        <f t="shared" si="19"/>
        <v>0</v>
      </c>
      <c r="K70" s="61"/>
      <c r="L70" s="61"/>
      <c r="M70" s="61"/>
    </row>
    <row r="71" spans="2:13" ht="12.75">
      <c r="B71" t="str">
        <f t="shared" si="15"/>
        <v>Other Solids %</v>
      </c>
      <c r="D71" s="56">
        <f t="shared" si="16"/>
        <v>25697.777871913815</v>
      </c>
      <c r="E71" s="56"/>
      <c r="F71" s="56">
        <f t="shared" si="17"/>
        <v>25697.777871913815</v>
      </c>
      <c r="G71" s="56"/>
      <c r="H71" s="56">
        <f t="shared" si="18"/>
        <v>25697.777871913815</v>
      </c>
      <c r="J71" s="17">
        <f t="shared" si="19"/>
        <v>0</v>
      </c>
      <c r="K71" s="61"/>
      <c r="L71" s="61"/>
      <c r="M71" s="61"/>
    </row>
    <row r="72" spans="2:13" ht="12.75">
      <c r="B72" t="str">
        <f t="shared" si="15"/>
        <v>Somatic Cell Count</v>
      </c>
      <c r="D72" s="56">
        <f t="shared" si="16"/>
        <v>25697.777871913815</v>
      </c>
      <c r="E72" s="56"/>
      <c r="F72" s="56">
        <f t="shared" si="17"/>
        <v>25697.777871913815</v>
      </c>
      <c r="G72" s="56"/>
      <c r="H72" s="56">
        <f t="shared" si="18"/>
        <v>25697.777871913815</v>
      </c>
      <c r="J72" s="17">
        <f t="shared" si="19"/>
        <v>0</v>
      </c>
      <c r="K72" s="61"/>
      <c r="L72" s="61"/>
      <c r="M72" s="61"/>
    </row>
    <row r="73" spans="2:13" ht="12.75">
      <c r="B73" t="str">
        <f t="shared" si="15"/>
        <v>Butter Price</v>
      </c>
      <c r="D73" s="56">
        <f t="shared" si="16"/>
        <v>25674.300058507793</v>
      </c>
      <c r="E73" s="56"/>
      <c r="F73" s="56">
        <f t="shared" si="17"/>
        <v>25697.777871913815</v>
      </c>
      <c r="G73" s="56"/>
      <c r="H73" s="56">
        <f t="shared" si="18"/>
        <v>26535.728120166328</v>
      </c>
      <c r="J73" s="17">
        <f t="shared" si="19"/>
        <v>861.4280616585347</v>
      </c>
      <c r="K73" s="61"/>
      <c r="L73" s="61"/>
      <c r="M73" s="61"/>
    </row>
    <row r="74" spans="2:13" ht="12.75">
      <c r="B74" t="str">
        <f t="shared" si="15"/>
        <v>Cheese Price</v>
      </c>
      <c r="D74" s="56">
        <f t="shared" si="16"/>
        <v>26365.2446611355</v>
      </c>
      <c r="E74" s="56"/>
      <c r="F74" s="56">
        <f t="shared" si="17"/>
        <v>25697.777871913815</v>
      </c>
      <c r="G74" s="56"/>
      <c r="H74" s="56">
        <f t="shared" si="18"/>
        <v>25571.881576068823</v>
      </c>
      <c r="J74" s="17">
        <f t="shared" si="19"/>
        <v>793.3630850666777</v>
      </c>
      <c r="K74" s="61"/>
      <c r="L74" s="61"/>
      <c r="M74" s="61"/>
    </row>
    <row r="75" spans="2:13" ht="12.75">
      <c r="B75" t="str">
        <f t="shared" si="15"/>
        <v>Whey Price</v>
      </c>
      <c r="D75" s="56">
        <f t="shared" si="16"/>
        <v>26158.78950177507</v>
      </c>
      <c r="E75" s="56"/>
      <c r="F75" s="56">
        <f t="shared" si="17"/>
        <v>25697.777871913815</v>
      </c>
      <c r="G75" s="56"/>
      <c r="H75" s="56">
        <f t="shared" si="18"/>
        <v>26324.5055686759</v>
      </c>
      <c r="J75" s="17">
        <f t="shared" si="19"/>
        <v>165.7160669008299</v>
      </c>
      <c r="K75" s="61"/>
      <c r="L75" s="61"/>
      <c r="M75" s="61"/>
    </row>
    <row r="76" spans="2:13" ht="12.75">
      <c r="B76" t="str">
        <f t="shared" si="15"/>
        <v>Non-Fat Dry Milk Price</v>
      </c>
      <c r="D76" s="56">
        <f t="shared" si="16"/>
        <v>26105.01408933706</v>
      </c>
      <c r="E76" s="56"/>
      <c r="F76" s="56">
        <f t="shared" si="17"/>
        <v>25697.777871913815</v>
      </c>
      <c r="G76" s="56"/>
      <c r="H76" s="56">
        <f t="shared" si="18"/>
        <v>26105.01408933706</v>
      </c>
      <c r="J76" s="17">
        <f t="shared" si="19"/>
        <v>0</v>
      </c>
      <c r="K76" s="61"/>
      <c r="L76" s="61"/>
      <c r="M76" s="61"/>
    </row>
    <row r="77" spans="2:13" ht="12.75">
      <c r="B77" t="str">
        <f t="shared" si="15"/>
        <v>Two-Week Advance Butter Price</v>
      </c>
      <c r="D77" s="56">
        <f t="shared" si="16"/>
        <v>26094.689696049256</v>
      </c>
      <c r="E77" s="56"/>
      <c r="F77" s="56">
        <f t="shared" si="17"/>
        <v>25697.777871913815</v>
      </c>
      <c r="G77" s="56"/>
      <c r="H77" s="56">
        <f t="shared" si="18"/>
        <v>26496.13132980785</v>
      </c>
      <c r="J77" s="17">
        <f t="shared" si="19"/>
        <v>401.4416337585935</v>
      </c>
      <c r="K77" s="61"/>
      <c r="L77" s="61"/>
      <c r="M77" s="61"/>
    </row>
    <row r="78" spans="2:13" ht="12.75">
      <c r="B78" t="str">
        <f t="shared" si="15"/>
        <v>Two-Week Advance Cheese Price</v>
      </c>
      <c r="D78" s="56">
        <f t="shared" si="16"/>
        <v>26378.713968413787</v>
      </c>
      <c r="E78" s="56"/>
      <c r="F78" s="56">
        <f t="shared" si="17"/>
        <v>25697.777871913815</v>
      </c>
      <c r="G78" s="56"/>
      <c r="H78" s="56">
        <f t="shared" si="18"/>
        <v>26723.5522263001</v>
      </c>
      <c r="J78" s="17">
        <f t="shared" si="19"/>
        <v>344.83825788631293</v>
      </c>
      <c r="K78" s="61"/>
      <c r="L78" s="61"/>
      <c r="M78" s="61"/>
    </row>
    <row r="79" spans="2:13" ht="12.75">
      <c r="B79" t="str">
        <f t="shared" si="15"/>
        <v>Two-Week Advance Whey Price</v>
      </c>
      <c r="D79" s="56">
        <f t="shared" si="16"/>
        <v>26105.01408933706</v>
      </c>
      <c r="E79" s="56"/>
      <c r="F79" s="56">
        <f t="shared" si="17"/>
        <v>25697.777871913815</v>
      </c>
      <c r="G79" s="56"/>
      <c r="H79" s="56">
        <f t="shared" si="18"/>
        <v>26140.586700907308</v>
      </c>
      <c r="J79" s="17">
        <f t="shared" si="19"/>
        <v>35.57261157024914</v>
      </c>
      <c r="K79" s="61"/>
      <c r="L79" s="61"/>
      <c r="M79" s="61"/>
    </row>
    <row r="80" spans="2:13" ht="12.75">
      <c r="B80" t="str">
        <f t="shared" si="15"/>
        <v>Two-Week Advance NFDM Price</v>
      </c>
      <c r="D80" s="56">
        <f t="shared" si="16"/>
        <v>26074.33421917177</v>
      </c>
      <c r="E80" s="56"/>
      <c r="F80" s="56">
        <f t="shared" si="17"/>
        <v>25697.777871913815</v>
      </c>
      <c r="G80" s="56"/>
      <c r="H80" s="56">
        <f t="shared" si="18"/>
        <v>26178.771143466387</v>
      </c>
      <c r="J80" s="17">
        <f t="shared" si="19"/>
        <v>104.43692429461589</v>
      </c>
      <c r="K80" s="61"/>
      <c r="L80" s="61"/>
      <c r="M80" s="61"/>
    </row>
    <row r="81" spans="2:13" ht="12.75" hidden="1">
      <c r="B81" t="str">
        <f t="shared" si="15"/>
        <v>Class I Differential</v>
      </c>
      <c r="D81" s="56">
        <f t="shared" si="16"/>
        <v>26105.01408933706</v>
      </c>
      <c r="E81" s="56"/>
      <c r="F81" s="56">
        <f t="shared" si="17"/>
        <v>25697.777871913815</v>
      </c>
      <c r="G81" s="56"/>
      <c r="H81" s="56">
        <f t="shared" si="18"/>
        <v>26105.01408933706</v>
      </c>
      <c r="J81" s="17">
        <f t="shared" si="19"/>
        <v>0</v>
      </c>
      <c r="K81" s="61"/>
      <c r="L81" s="61"/>
      <c r="M81" s="61"/>
    </row>
    <row r="82" spans="2:13" ht="12.75">
      <c r="B82" t="str">
        <f t="shared" si="15"/>
        <v>Class Utilization</v>
      </c>
      <c r="D82" s="56">
        <f t="shared" si="16"/>
        <v>25749.033487537454</v>
      </c>
      <c r="E82" s="56"/>
      <c r="F82" s="56">
        <f t="shared" si="17"/>
        <v>25697.777871913815</v>
      </c>
      <c r="G82" s="56"/>
      <c r="H82" s="56">
        <f t="shared" si="18"/>
        <v>26591.509833598324</v>
      </c>
      <c r="J82" s="17">
        <f t="shared" si="19"/>
        <v>842.4763460608701</v>
      </c>
      <c r="K82" s="61"/>
      <c r="L82" s="61"/>
      <c r="M82" s="61"/>
    </row>
    <row r="83" spans="4:13" ht="12.75">
      <c r="D83" s="56"/>
      <c r="E83" s="56"/>
      <c r="F83" s="56"/>
      <c r="G83" s="56"/>
      <c r="H83" s="56"/>
      <c r="K83" s="61"/>
      <c r="L83" s="61"/>
      <c r="M83" s="61"/>
    </row>
    <row r="84" ht="12.75">
      <c r="A84" s="6" t="s">
        <v>242</v>
      </c>
    </row>
    <row r="85" spans="2:11" ht="12.75">
      <c r="B85" t="str">
        <f aca="true" t="shared" si="20" ref="B85:B100">B67</f>
        <v>Average Number of Cows</v>
      </c>
      <c r="D85" s="61">
        <f>'Risk Comparison'!D2</f>
        <v>25697.777871913815</v>
      </c>
      <c r="F85" s="61">
        <f>'Risk Comparison'!F2</f>
        <v>25697.777871913815</v>
      </c>
      <c r="H85" s="61">
        <f>'Risk Comparison'!H2</f>
        <v>25697.777871913815</v>
      </c>
      <c r="J85" s="17">
        <f>ABS(H85-D85)</f>
        <v>0</v>
      </c>
      <c r="K85" s="105"/>
    </row>
    <row r="86" spans="2:11" ht="12.75">
      <c r="B86" t="str">
        <f t="shared" si="20"/>
        <v>Average Daily Production (Lbs.)</v>
      </c>
      <c r="D86" s="61">
        <f>'Risk Comparison'!D3</f>
        <v>25697.777871913815</v>
      </c>
      <c r="F86" s="61">
        <f>'Risk Comparison'!F3</f>
        <v>25697.777871913815</v>
      </c>
      <c r="H86" s="61">
        <f>'Risk Comparison'!H3</f>
        <v>25697.777871913815</v>
      </c>
      <c r="J86" s="17">
        <f aca="true" t="shared" si="21" ref="J86:J100">ABS(H86-D86)</f>
        <v>0</v>
      </c>
      <c r="K86" s="105"/>
    </row>
    <row r="87" spans="2:11" ht="12.75">
      <c r="B87" t="str">
        <f t="shared" si="20"/>
        <v>Fat %</v>
      </c>
      <c r="D87" s="61">
        <f>'Risk Comparison'!D4</f>
        <v>25697.777871913815</v>
      </c>
      <c r="F87" s="61">
        <f>'Risk Comparison'!F4</f>
        <v>25697.777871913815</v>
      </c>
      <c r="H87" s="61">
        <f>'Risk Comparison'!H4</f>
        <v>25697.777871913815</v>
      </c>
      <c r="J87" s="17">
        <f t="shared" si="21"/>
        <v>0</v>
      </c>
      <c r="K87" s="105"/>
    </row>
    <row r="88" spans="2:11" ht="12.75">
      <c r="B88" t="str">
        <f t="shared" si="20"/>
        <v>Protein %</v>
      </c>
      <c r="D88" s="61">
        <f>'Risk Comparison'!D5</f>
        <v>25697.777871913815</v>
      </c>
      <c r="F88" s="61">
        <f>'Risk Comparison'!F5</f>
        <v>25697.777871913815</v>
      </c>
      <c r="H88" s="61">
        <f>'Risk Comparison'!H5</f>
        <v>25697.777871913815</v>
      </c>
      <c r="J88" s="17">
        <f t="shared" si="21"/>
        <v>0</v>
      </c>
      <c r="K88" s="105"/>
    </row>
    <row r="89" spans="2:11" ht="12.75">
      <c r="B89" t="str">
        <f t="shared" si="20"/>
        <v>Other Solids %</v>
      </c>
      <c r="D89" s="61">
        <f>'Risk Comparison'!D6</f>
        <v>25697.777871913815</v>
      </c>
      <c r="F89" s="61">
        <f>'Risk Comparison'!F6</f>
        <v>25697.777871913815</v>
      </c>
      <c r="H89" s="61">
        <f>'Risk Comparison'!H6</f>
        <v>25697.777871913815</v>
      </c>
      <c r="J89" s="17">
        <f t="shared" si="21"/>
        <v>0</v>
      </c>
      <c r="K89" s="105"/>
    </row>
    <row r="90" spans="2:11" ht="12.75">
      <c r="B90" t="str">
        <f t="shared" si="20"/>
        <v>Somatic Cell Count</v>
      </c>
      <c r="D90" s="61">
        <f>'Risk Comparison'!D7</f>
        <v>25697.777871913815</v>
      </c>
      <c r="F90" s="61">
        <f>'Risk Comparison'!F7</f>
        <v>25697.777871913815</v>
      </c>
      <c r="H90" s="61">
        <f>'Risk Comparison'!H7</f>
        <v>25697.777871913815</v>
      </c>
      <c r="J90" s="17">
        <f t="shared" si="21"/>
        <v>0</v>
      </c>
      <c r="K90" s="105"/>
    </row>
    <row r="91" spans="2:11" ht="12.75">
      <c r="B91" s="102" t="str">
        <f t="shared" si="20"/>
        <v>Butter Price</v>
      </c>
      <c r="C91" s="102"/>
      <c r="D91" s="103">
        <f>'Risk Comparison'!D8</f>
        <v>25674.300058507793</v>
      </c>
      <c r="E91" s="102"/>
      <c r="F91" s="103">
        <f>'Risk Comparison'!F8</f>
        <v>25697.777871913815</v>
      </c>
      <c r="G91" s="102"/>
      <c r="H91" s="103">
        <f>'Risk Comparison'!H8</f>
        <v>26535.728120166328</v>
      </c>
      <c r="I91" s="102"/>
      <c r="J91" s="104">
        <f t="shared" si="21"/>
        <v>861.4280616585347</v>
      </c>
      <c r="K91" s="105"/>
    </row>
    <row r="92" spans="2:11" ht="12.75">
      <c r="B92" s="102" t="str">
        <f t="shared" si="20"/>
        <v>Cheese Price</v>
      </c>
      <c r="C92" s="102"/>
      <c r="D92" s="103">
        <f>'Risk Comparison'!D9</f>
        <v>26365.2446611355</v>
      </c>
      <c r="E92" s="102"/>
      <c r="F92" s="103">
        <f>'Risk Comparison'!F9</f>
        <v>25697.777871913815</v>
      </c>
      <c r="G92" s="102"/>
      <c r="H92" s="103">
        <f>'Risk Comparison'!H9</f>
        <v>25571.881576068823</v>
      </c>
      <c r="I92" s="102"/>
      <c r="J92" s="104">
        <f t="shared" si="21"/>
        <v>793.3630850666777</v>
      </c>
      <c r="K92" s="105"/>
    </row>
    <row r="93" spans="2:11" ht="12.75">
      <c r="B93" s="102" t="str">
        <f t="shared" si="20"/>
        <v>Whey Price</v>
      </c>
      <c r="C93" s="102"/>
      <c r="D93" s="103">
        <f>'Risk Comparison'!D10</f>
        <v>26158.78950177507</v>
      </c>
      <c r="E93" s="102"/>
      <c r="F93" s="103">
        <f>'Risk Comparison'!F10</f>
        <v>25697.777871913815</v>
      </c>
      <c r="G93" s="102"/>
      <c r="H93" s="103">
        <f>'Risk Comparison'!H10</f>
        <v>26324.5055686759</v>
      </c>
      <c r="I93" s="102"/>
      <c r="J93" s="104">
        <f t="shared" si="21"/>
        <v>165.7160669008299</v>
      </c>
      <c r="K93" s="105"/>
    </row>
    <row r="94" spans="2:11" ht="12.75">
      <c r="B94" s="102" t="str">
        <f t="shared" si="20"/>
        <v>Non-Fat Dry Milk Price</v>
      </c>
      <c r="C94" s="102"/>
      <c r="D94" s="103">
        <f>'Risk Comparison'!D11</f>
        <v>26105.01408933706</v>
      </c>
      <c r="E94" s="102"/>
      <c r="F94" s="103">
        <f>'Risk Comparison'!F11</f>
        <v>25697.777871913815</v>
      </c>
      <c r="G94" s="102"/>
      <c r="H94" s="103">
        <f>'Risk Comparison'!H11</f>
        <v>26105.01408933706</v>
      </c>
      <c r="I94" s="102"/>
      <c r="J94" s="104">
        <f t="shared" si="21"/>
        <v>0</v>
      </c>
      <c r="K94" s="105"/>
    </row>
    <row r="95" spans="2:11" ht="12.75">
      <c r="B95" t="str">
        <f t="shared" si="20"/>
        <v>Two-Week Advance Butter Price</v>
      </c>
      <c r="D95" s="61">
        <f>'Risk Comparison'!D12</f>
        <v>26094.689696049256</v>
      </c>
      <c r="F95" s="61">
        <f>'Risk Comparison'!F12</f>
        <v>25697.777871913815</v>
      </c>
      <c r="H95" s="61">
        <f>'Risk Comparison'!H12</f>
        <v>26496.13132980785</v>
      </c>
      <c r="J95" s="17">
        <f t="shared" si="21"/>
        <v>401.4416337585935</v>
      </c>
      <c r="K95" s="105"/>
    </row>
    <row r="96" spans="2:11" ht="12.75">
      <c r="B96" t="str">
        <f t="shared" si="20"/>
        <v>Two-Week Advance Cheese Price</v>
      </c>
      <c r="D96" s="61">
        <f>'Risk Comparison'!D13</f>
        <v>26378.713968413787</v>
      </c>
      <c r="F96" s="61">
        <f>'Risk Comparison'!F13</f>
        <v>25697.777871913815</v>
      </c>
      <c r="H96" s="61">
        <f>'Risk Comparison'!H13</f>
        <v>26723.5522263001</v>
      </c>
      <c r="J96" s="17">
        <f t="shared" si="21"/>
        <v>344.83825788631293</v>
      </c>
      <c r="K96" s="105"/>
    </row>
    <row r="97" spans="2:11" ht="12.75">
      <c r="B97" t="str">
        <f t="shared" si="20"/>
        <v>Two-Week Advance Whey Price</v>
      </c>
      <c r="D97" s="61">
        <f>'Risk Comparison'!D14</f>
        <v>26105.01408933706</v>
      </c>
      <c r="F97" s="61">
        <f>'Risk Comparison'!F14</f>
        <v>25697.777871913815</v>
      </c>
      <c r="H97" s="61">
        <f>'Risk Comparison'!H14</f>
        <v>26140.586700907308</v>
      </c>
      <c r="J97" s="17">
        <f t="shared" si="21"/>
        <v>35.57261157024914</v>
      </c>
      <c r="K97" s="105"/>
    </row>
    <row r="98" spans="2:11" ht="12.75">
      <c r="B98" t="str">
        <f t="shared" si="20"/>
        <v>Two-Week Advance NFDM Price</v>
      </c>
      <c r="D98" s="61">
        <f>'Risk Comparison'!D15</f>
        <v>26074.33421917177</v>
      </c>
      <c r="F98" s="61">
        <f>'Risk Comparison'!F15</f>
        <v>25697.777871913815</v>
      </c>
      <c r="H98" s="61">
        <f>'Risk Comparison'!H15</f>
        <v>26178.771143466387</v>
      </c>
      <c r="J98" s="17">
        <f t="shared" si="21"/>
        <v>104.43692429461589</v>
      </c>
      <c r="K98" s="105"/>
    </row>
    <row r="99" spans="2:11" ht="12.75" hidden="1">
      <c r="B99" t="str">
        <f t="shared" si="20"/>
        <v>Class I Differential</v>
      </c>
      <c r="D99" s="61">
        <f>'Risk Comparison'!D16</f>
        <v>26105.01408933706</v>
      </c>
      <c r="F99" s="61">
        <f>'Risk Comparison'!F16</f>
        <v>25697.777871913815</v>
      </c>
      <c r="H99" s="61">
        <f>'Risk Comparison'!H16</f>
        <v>26105.01408933706</v>
      </c>
      <c r="J99" s="17">
        <f t="shared" si="21"/>
        <v>0</v>
      </c>
      <c r="K99" s="105"/>
    </row>
    <row r="100" spans="2:11" ht="12.75">
      <c r="B100" t="str">
        <f t="shared" si="20"/>
        <v>Class Utilization</v>
      </c>
      <c r="D100" s="61">
        <f>'Risk Comparison'!D17</f>
        <v>25749.033487537454</v>
      </c>
      <c r="F100" s="61">
        <f>'Risk Comparison'!F17</f>
        <v>25697.777871913815</v>
      </c>
      <c r="H100" s="61">
        <f>'Risk Comparison'!H17</f>
        <v>26591.509833598324</v>
      </c>
      <c r="J100" s="17">
        <f t="shared" si="21"/>
        <v>842.4763460608701</v>
      </c>
      <c r="K100" s="105"/>
    </row>
    <row r="101" spans="4:8" ht="12.75">
      <c r="D101" s="61"/>
      <c r="F101" s="56"/>
      <c r="H101" s="61"/>
    </row>
  </sheetData>
  <printOptions/>
  <pageMargins left="0.75" right="0.25" top="0.75" bottom="0.25" header="0.5" footer="0.5"/>
  <pageSetup fitToHeight="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6"/>
  <dimension ref="A1:O43"/>
  <sheetViews>
    <sheetView zoomScale="136" zoomScaleNormal="136" workbookViewId="0" topLeftCell="A1">
      <selection activeCell="D4" sqref="D4"/>
    </sheetView>
  </sheetViews>
  <sheetFormatPr defaultColWidth="9.140625" defaultRowHeight="12.75"/>
  <cols>
    <col min="4" max="4" width="9.28125" style="0" bestFit="1" customWidth="1"/>
    <col min="6" max="6" width="11.28125" style="0" bestFit="1" customWidth="1"/>
    <col min="8" max="8" width="9.28125" style="0" bestFit="1" customWidth="1"/>
    <col min="10" max="10" width="5.8515625" style="0" customWidth="1"/>
    <col min="11" max="11" width="11.7109375" style="56" customWidth="1"/>
    <col min="12" max="12" width="3.7109375" style="56" customWidth="1"/>
    <col min="13" max="13" width="11.8515625" style="56" customWidth="1"/>
    <col min="14" max="14" width="3.7109375" style="56" customWidth="1"/>
    <col min="15" max="15" width="11.7109375" style="56" customWidth="1"/>
  </cols>
  <sheetData>
    <row r="1" spans="1:11" ht="12.75">
      <c r="A1" s="6" t="str">
        <f>CONCATENATE("Hedging Activity for Instruments that Settle in ",Data!E1)</f>
        <v>Hedging Activity for Instruments that Settle in December</v>
      </c>
      <c r="K1" s="62" t="s">
        <v>160</v>
      </c>
    </row>
    <row r="2" spans="2:15" ht="12.75">
      <c r="B2" s="6" t="s">
        <v>38</v>
      </c>
      <c r="D2" s="65" t="s">
        <v>46</v>
      </c>
      <c r="E2" s="65"/>
      <c r="F2" s="65" t="s">
        <v>247</v>
      </c>
      <c r="G2" s="65"/>
      <c r="H2" s="112" t="s">
        <v>94</v>
      </c>
      <c r="K2" s="56" t="s">
        <v>63</v>
      </c>
      <c r="M2" s="56" t="s">
        <v>53</v>
      </c>
      <c r="O2" s="56" t="s">
        <v>62</v>
      </c>
    </row>
    <row r="3" spans="2:15" ht="12.75">
      <c r="B3" t="s">
        <v>40</v>
      </c>
      <c r="D3" s="14">
        <v>0</v>
      </c>
      <c r="E3" s="7"/>
      <c r="F3" s="13">
        <v>0</v>
      </c>
      <c r="G3" s="7"/>
      <c r="H3" s="13">
        <v>10.5</v>
      </c>
      <c r="K3" s="56">
        <f>(IF($D3&gt;0,Forecast!E$40-H3,0))*2000*D3+F3</f>
        <v>0</v>
      </c>
      <c r="M3" s="56">
        <f>(IF($D3&gt;0,Forecast!G$40-H3,0))*2000*D3+F3</f>
        <v>0</v>
      </c>
      <c r="O3" s="56">
        <f>(IF($D3&gt;0,Forecast!I$40-H3,0))*2000*D3+F3</f>
        <v>0</v>
      </c>
    </row>
    <row r="4" spans="1:15" ht="12.75">
      <c r="A4" s="53" t="s">
        <v>240</v>
      </c>
      <c r="B4" t="s">
        <v>39</v>
      </c>
      <c r="D4" s="14">
        <v>0</v>
      </c>
      <c r="E4" s="7"/>
      <c r="F4" s="13">
        <v>0</v>
      </c>
      <c r="G4" s="7"/>
      <c r="H4" s="13">
        <v>10.5</v>
      </c>
      <c r="K4" s="56">
        <f>(IF($D4&gt;0,H4-Forecast!E$40,0))*2000*D4+F4</f>
        <v>0</v>
      </c>
      <c r="M4" s="56">
        <f>(IF($D4&gt;0,H4-Forecast!G$40,0))*2000*D4+F4</f>
        <v>0</v>
      </c>
      <c r="O4" s="56">
        <f>(IF($D4&gt;0,H4-Forecast!I$40,0))*2000*D4+F4</f>
        <v>0</v>
      </c>
    </row>
    <row r="5" spans="1:8" ht="12.75">
      <c r="A5" s="53"/>
      <c r="D5" s="14"/>
      <c r="E5" s="7"/>
      <c r="F5" s="13"/>
      <c r="G5" s="7"/>
      <c r="H5" s="13"/>
    </row>
    <row r="6" spans="1:15" ht="12.75">
      <c r="A6" s="53"/>
      <c r="B6" t="s">
        <v>41</v>
      </c>
      <c r="D6" s="14">
        <v>0</v>
      </c>
      <c r="E6" s="7"/>
      <c r="F6" s="13">
        <v>0</v>
      </c>
      <c r="G6" s="7"/>
      <c r="H6" s="13">
        <v>10.5</v>
      </c>
      <c r="K6" s="56">
        <f>IF($D6&gt;0,IF($H6&lt;Forecast!E$40,Forecast!E$40-$H6,0),0)*2000*$D6+$F6</f>
        <v>0</v>
      </c>
      <c r="M6" s="56">
        <f>IF($D6&gt;0,IF($H6&lt;Forecast!G$40,Forecast!G$40-$H6,0),0)*2000*$D6+$F6</f>
        <v>0</v>
      </c>
      <c r="O6" s="56">
        <f>IF($D6&gt;0,IF($H6&lt;Forecast!I$40,Forecast!I$40-$H6,0),0)*2000*$D6+$F6</f>
        <v>0</v>
      </c>
    </row>
    <row r="7" spans="1:15" ht="12.75">
      <c r="A7" s="53" t="s">
        <v>240</v>
      </c>
      <c r="B7" t="s">
        <v>42</v>
      </c>
      <c r="D7" s="14">
        <v>0</v>
      </c>
      <c r="E7" s="7"/>
      <c r="F7" s="13">
        <v>0</v>
      </c>
      <c r="G7" s="7"/>
      <c r="H7" s="13">
        <v>10.5</v>
      </c>
      <c r="K7" s="56">
        <f>IF($D7&gt;0,IF(H7&lt;Forecast!E$40,$H7-Forecast!E$40,0),0)*2000*$D7+$F7</f>
        <v>0</v>
      </c>
      <c r="M7" s="56">
        <f>IF($D7&gt;0,IF(H7&lt;Forecast!G$40,$H7-Forecast!G$40,0),0)*2000*$D7+$F7</f>
        <v>0</v>
      </c>
      <c r="O7" s="56">
        <f>IF($D7&gt;0,IF(H7&lt;Forecast!I$40,$H7-Forecast!I$40,0),0)*2000*$D7+$F7</f>
        <v>0</v>
      </c>
    </row>
    <row r="8" spans="1:8" ht="12.75">
      <c r="A8" s="53"/>
      <c r="D8" s="14"/>
      <c r="E8" s="7"/>
      <c r="F8" s="13"/>
      <c r="G8" s="7"/>
      <c r="H8" s="13"/>
    </row>
    <row r="9" spans="1:15" ht="12.75">
      <c r="A9" s="53"/>
      <c r="B9" t="s">
        <v>43</v>
      </c>
      <c r="D9" s="14">
        <v>0</v>
      </c>
      <c r="E9" s="7"/>
      <c r="F9" s="13">
        <v>0</v>
      </c>
      <c r="G9" s="7"/>
      <c r="H9" s="13">
        <v>10.5</v>
      </c>
      <c r="K9" s="56">
        <f>IF($D9&gt;0,IF($H9&gt;Forecast!E$40,Forecast!E$40-$H9,0),0)*2000*$D9+$F9</f>
        <v>0</v>
      </c>
      <c r="M9" s="56">
        <f>IF($D9&gt;0,IF($H9&gt;Forecast!G$40,Forecast!G$40-$H9,0),0)*2000*$D9+$F9</f>
        <v>0</v>
      </c>
      <c r="O9" s="56">
        <f>IF($D9&gt;0,IF($H9&gt;Forecast!I$40,Forecast!I$40-$H9,0),0)*2000*$D9+$F9</f>
        <v>0</v>
      </c>
    </row>
    <row r="10" spans="1:15" ht="12.75">
      <c r="A10" s="53" t="s">
        <v>240</v>
      </c>
      <c r="B10" t="s">
        <v>44</v>
      </c>
      <c r="D10" s="14">
        <v>0</v>
      </c>
      <c r="E10" s="7"/>
      <c r="F10" s="13">
        <v>0</v>
      </c>
      <c r="G10" s="7"/>
      <c r="H10" s="13">
        <v>10.5</v>
      </c>
      <c r="K10" s="93">
        <f>IF($D10&gt;0,IF($H10&gt;Forecast!E$40,$H10-Forecast!E$40,0),0)*2000*$D10+$F10</f>
        <v>0</v>
      </c>
      <c r="M10" s="93">
        <f>IF($D10&gt;0,IF($H10&gt;Forecast!G$40,$H10-Forecast!G$40,0),0)*2000*$D10+$F10</f>
        <v>0</v>
      </c>
      <c r="O10" s="93">
        <f>IF($D10&gt;0,IF($H10&gt;Forecast!I$40,$H10-Forecast!I$40,0),0)*2000*$D10+$F10</f>
        <v>0</v>
      </c>
    </row>
    <row r="11" spans="1:15" ht="12.75">
      <c r="A11" s="53"/>
      <c r="D11" s="18"/>
      <c r="F11" s="17"/>
      <c r="H11" s="13"/>
      <c r="J11" t="s">
        <v>30</v>
      </c>
      <c r="K11" s="56">
        <f>SUM(K3:K10)</f>
        <v>0</v>
      </c>
      <c r="M11" s="56">
        <f>SUM(M3:M10)</f>
        <v>0</v>
      </c>
      <c r="O11" s="56">
        <f>SUM(O3:O10)</f>
        <v>0</v>
      </c>
    </row>
    <row r="12" spans="1:8" ht="12.75">
      <c r="A12" s="53"/>
      <c r="B12" s="6" t="s">
        <v>45</v>
      </c>
      <c r="D12" s="18"/>
      <c r="F12" s="17"/>
      <c r="H12" s="13"/>
    </row>
    <row r="13" spans="1:15" ht="12.75">
      <c r="A13" s="53"/>
      <c r="B13" t="s">
        <v>40</v>
      </c>
      <c r="D13" s="14">
        <v>0</v>
      </c>
      <c r="E13" s="7"/>
      <c r="F13" s="13">
        <v>0</v>
      </c>
      <c r="G13" s="7"/>
      <c r="H13" s="13">
        <v>0</v>
      </c>
      <c r="K13" s="56">
        <f>((IF($D13&gt;0,Forecast!E41-$H13,0))*2000*$D13)+$F13</f>
        <v>0</v>
      </c>
      <c r="M13" s="56">
        <f>((IF($D13&gt;0,Forecast!G41-$H13,0))*2000*$D13)+$F13</f>
        <v>0</v>
      </c>
      <c r="O13" s="56">
        <f>((IF($D13&gt;0,Forecast!I41-$H13,0))*2000*$D13)+$F13</f>
        <v>0</v>
      </c>
    </row>
    <row r="14" spans="1:15" ht="12.75">
      <c r="A14" s="53" t="s">
        <v>240</v>
      </c>
      <c r="B14" t="s">
        <v>39</v>
      </c>
      <c r="D14" s="14">
        <v>0</v>
      </c>
      <c r="E14" s="7"/>
      <c r="F14" s="13">
        <v>0</v>
      </c>
      <c r="G14" s="7"/>
      <c r="H14" s="13">
        <v>0</v>
      </c>
      <c r="K14" s="56">
        <f>((IF($D14&gt;0,$H14-Forecast!E41,0))*2000*$D14)+$F14</f>
        <v>0</v>
      </c>
      <c r="M14" s="56">
        <f>((IF($D14&gt;0,$H14-Forecast!G41,0))*2000*$D14)+$F14</f>
        <v>0</v>
      </c>
      <c r="O14" s="56">
        <f>((IF($D14&gt;0,$H14-Forecast!I41,0))*2000*$D14)+$F14</f>
        <v>0</v>
      </c>
    </row>
    <row r="15" spans="1:8" ht="12.75">
      <c r="A15" s="53"/>
      <c r="D15" s="14"/>
      <c r="E15" s="7"/>
      <c r="F15" s="13"/>
      <c r="G15" s="7"/>
      <c r="H15" s="13"/>
    </row>
    <row r="16" spans="1:15" ht="12.75">
      <c r="A16" s="53"/>
      <c r="B16" t="s">
        <v>41</v>
      </c>
      <c r="D16" s="14">
        <v>0</v>
      </c>
      <c r="E16" s="7"/>
      <c r="F16" s="13">
        <v>0</v>
      </c>
      <c r="G16" s="7"/>
      <c r="H16" s="13">
        <v>0</v>
      </c>
      <c r="K16" s="56">
        <f>IF($D16&gt;0,IF($H16&lt;Forecast!E$41,Forecast!E$41-$H16,0),0)*2000*$D16+$F16</f>
        <v>0</v>
      </c>
      <c r="M16" s="56">
        <f>IF($D16&gt;0,IF($H16&lt;Forecast!G$41,Forecast!G$41-$H16,0),0)*2000*$D16+$F16</f>
        <v>0</v>
      </c>
      <c r="O16" s="56">
        <f>IF($D16&gt;0,IF($H16&lt;Forecast!I$41,Forecast!I$41-$H16,0),0)*2000*$D16+$F16</f>
        <v>0</v>
      </c>
    </row>
    <row r="17" spans="1:15" ht="12.75">
      <c r="A17" s="53" t="s">
        <v>240</v>
      </c>
      <c r="B17" t="s">
        <v>42</v>
      </c>
      <c r="D17" s="14">
        <v>0</v>
      </c>
      <c r="E17" s="7"/>
      <c r="F17" s="13">
        <v>0</v>
      </c>
      <c r="G17" s="7"/>
      <c r="H17" s="13">
        <v>0</v>
      </c>
      <c r="K17" s="56">
        <f>IF($D17&gt;0,IF($H17&lt;Forecast!E$41,$H17-Forecast!E$41,0),0)*2000*$D17+$F17</f>
        <v>0</v>
      </c>
      <c r="M17" s="56">
        <f>IF($D17&gt;0,IF($H17&lt;Forecast!G$41,$H17-Forecast!G$41,0),0)*2000*$D17+$F17</f>
        <v>0</v>
      </c>
      <c r="O17" s="56">
        <f>IF($D17&gt;0,IF($H17&lt;Forecast!I$41,$H17-Forecast!I$41,0),0)*2000*$D17+$F17</f>
        <v>0</v>
      </c>
    </row>
    <row r="18" spans="1:8" ht="12.75">
      <c r="A18" s="53"/>
      <c r="D18" s="14"/>
      <c r="E18" s="7"/>
      <c r="F18" s="13"/>
      <c r="G18" s="7"/>
      <c r="H18" s="13"/>
    </row>
    <row r="19" spans="1:15" ht="12.75">
      <c r="A19" s="53"/>
      <c r="B19" t="s">
        <v>43</v>
      </c>
      <c r="D19" s="14">
        <v>0</v>
      </c>
      <c r="E19" s="7"/>
      <c r="F19" s="13">
        <v>0</v>
      </c>
      <c r="G19" s="7"/>
      <c r="H19" s="13">
        <v>0</v>
      </c>
      <c r="K19" s="56">
        <f>IF($D19&gt;0,IF($H19&gt;Forecast!E$41,Forecast!E$41-$H19,0),0)*2000*$D19+$F19</f>
        <v>0</v>
      </c>
      <c r="M19" s="56">
        <f>IF($D19&gt;0,IF($H19&gt;Forecast!G$41,Forecast!G$41-$H19,0),0)*2000*$D19+$F19</f>
        <v>0</v>
      </c>
      <c r="O19" s="56">
        <f>IF($D19&gt;0,IF($H19&gt;Forecast!I$41,Forecast!I$41-$H19,0),0)*2000*$D19+$F19</f>
        <v>0</v>
      </c>
    </row>
    <row r="20" spans="1:15" ht="12.75">
      <c r="A20" s="53" t="s">
        <v>240</v>
      </c>
      <c r="B20" t="s">
        <v>44</v>
      </c>
      <c r="D20" s="14">
        <v>0</v>
      </c>
      <c r="E20" s="7"/>
      <c r="F20" s="13">
        <v>0</v>
      </c>
      <c r="G20" s="7"/>
      <c r="H20" s="13">
        <v>0</v>
      </c>
      <c r="K20" s="93">
        <f>IF($D20&gt;0,IF($H20&gt;Forecast!E$41,$H20-Forecast!E$41,0),0)*2000*$D20+$F20</f>
        <v>0</v>
      </c>
      <c r="M20" s="93">
        <f>IF($D20&gt;0,IF($H20&gt;Forecast!G$41,$H20-Forecast!G$41,0),0)*2000*$D20+$F20</f>
        <v>0</v>
      </c>
      <c r="O20" s="93">
        <f>IF($D20&gt;0,IF($H20&gt;Forecast!I$41,$H20-Forecast!I$41,0),0)*2000*$D20+$F20</f>
        <v>0</v>
      </c>
    </row>
    <row r="21" spans="8:15" ht="12.75">
      <c r="H21" s="17"/>
      <c r="J21" t="s">
        <v>30</v>
      </c>
      <c r="K21" s="56">
        <f>SUM(K13:K20)</f>
        <v>0</v>
      </c>
      <c r="M21" s="56">
        <f>SUM(M13:M20)</f>
        <v>0</v>
      </c>
      <c r="O21" s="56">
        <f>SUM(O13:O20)</f>
        <v>0</v>
      </c>
    </row>
    <row r="22" ht="12.75">
      <c r="B22" s="6"/>
    </row>
    <row r="23" spans="4:8" ht="12.75">
      <c r="D23" s="14"/>
      <c r="F23" s="13"/>
      <c r="H23" s="13"/>
    </row>
    <row r="24" spans="4:8" ht="12.75">
      <c r="D24" s="14"/>
      <c r="F24" s="13"/>
      <c r="H24" s="13"/>
    </row>
    <row r="25" spans="1:8" ht="12.75">
      <c r="A25" s="6"/>
      <c r="D25" s="18"/>
      <c r="F25" s="17"/>
      <c r="H25" s="13"/>
    </row>
    <row r="26" spans="4:8" ht="12.75">
      <c r="D26" s="14"/>
      <c r="F26" s="13"/>
      <c r="H26" s="13"/>
    </row>
    <row r="27" spans="4:8" ht="12.75">
      <c r="D27" s="14"/>
      <c r="F27" s="13"/>
      <c r="H27" s="13"/>
    </row>
    <row r="28" spans="4:8" ht="12.75">
      <c r="D28" s="18"/>
      <c r="F28" s="17"/>
      <c r="H28" s="13"/>
    </row>
    <row r="29" spans="4:8" ht="12.75">
      <c r="D29" s="14"/>
      <c r="F29" s="13"/>
      <c r="H29" s="13"/>
    </row>
    <row r="30" spans="4:8" ht="12.75">
      <c r="D30" s="14"/>
      <c r="F30" s="13"/>
      <c r="H30" s="13"/>
    </row>
    <row r="31" spans="4:8" ht="12.75">
      <c r="D31" s="55"/>
      <c r="E31" s="55"/>
      <c r="F31" s="55"/>
      <c r="G31" s="55"/>
      <c r="H31" s="55"/>
    </row>
    <row r="32" ht="12.75">
      <c r="B32" s="6"/>
    </row>
    <row r="33" spans="4:8" ht="12.75">
      <c r="D33" s="14"/>
      <c r="F33" s="13"/>
      <c r="H33" s="13"/>
    </row>
    <row r="34" spans="4:8" ht="12.75">
      <c r="D34" s="14"/>
      <c r="F34" s="13"/>
      <c r="H34" s="13"/>
    </row>
    <row r="35" spans="4:8" ht="12.75">
      <c r="D35" s="18"/>
      <c r="F35" s="17"/>
      <c r="H35" s="13"/>
    </row>
    <row r="36" spans="4:8" ht="12.75">
      <c r="D36" s="14"/>
      <c r="F36" s="13"/>
      <c r="H36" s="13"/>
    </row>
    <row r="37" spans="4:8" ht="12.75">
      <c r="D37" s="14"/>
      <c r="F37" s="13"/>
      <c r="H37" s="13"/>
    </row>
    <row r="38" spans="4:8" ht="12.75">
      <c r="D38" s="18"/>
      <c r="F38" s="17"/>
      <c r="H38" s="13"/>
    </row>
    <row r="39" spans="4:8" ht="12.75">
      <c r="D39" s="14"/>
      <c r="F39" s="13"/>
      <c r="H39" s="13"/>
    </row>
    <row r="40" spans="4:8" ht="12.75">
      <c r="D40" s="14"/>
      <c r="F40" s="13"/>
      <c r="H40" s="13"/>
    </row>
    <row r="43" ht="12.75">
      <c r="A43" s="6"/>
    </row>
  </sheetData>
  <printOptions/>
  <pageMargins left="0.25" right="0.25" top="1" bottom="1"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sheetPr codeName="Sheet3"/>
  <dimension ref="A1:L50"/>
  <sheetViews>
    <sheetView zoomScale="200" zoomScaleNormal="200" workbookViewId="0" topLeftCell="A1">
      <selection activeCell="G11" sqref="G11"/>
    </sheetView>
  </sheetViews>
  <sheetFormatPr defaultColWidth="9.140625" defaultRowHeight="12.75"/>
  <cols>
    <col min="1" max="2" width="2.7109375" style="24" customWidth="1"/>
    <col min="3" max="3" width="17.140625" style="24" customWidth="1"/>
    <col min="4" max="4" width="1.7109375" style="24" customWidth="1"/>
    <col min="5" max="5" width="11.28125" style="24" bestFit="1" customWidth="1"/>
    <col min="6" max="6" width="1.7109375" style="24" customWidth="1"/>
    <col min="7" max="7" width="9.140625" style="24" customWidth="1"/>
    <col min="8" max="8" width="1.7109375" style="24" customWidth="1"/>
    <col min="9" max="9" width="9.140625" style="24" customWidth="1"/>
    <col min="10" max="10" width="1.7109375" style="24" customWidth="1"/>
    <col min="11" max="11" width="13.421875" style="45" customWidth="1"/>
    <col min="12" max="12" width="1.7109375" style="24" customWidth="1"/>
    <col min="13" max="16384" width="9.140625" style="24" customWidth="1"/>
  </cols>
  <sheetData>
    <row r="1" ht="12.75">
      <c r="A1" s="42" t="s">
        <v>61</v>
      </c>
    </row>
    <row r="2" ht="12.75"/>
    <row r="3" spans="2:12" ht="12.75">
      <c r="B3" s="19" t="str">
        <f>CONCATENATE(Data!G1," Forecast for Grade A Milk Shipped Througout ",Data!B1)</f>
        <v>Most Likely Forecast for Grade A Milk Shipped Througout December</v>
      </c>
      <c r="C3" s="20"/>
      <c r="D3" s="21"/>
      <c r="E3" s="21"/>
      <c r="F3" s="21"/>
      <c r="G3" s="21"/>
      <c r="H3" s="21"/>
      <c r="I3" s="21"/>
      <c r="J3" s="21"/>
      <c r="K3" s="22"/>
      <c r="L3" s="23"/>
    </row>
    <row r="4" spans="2:12" ht="12.75">
      <c r="B4" s="25"/>
      <c r="C4" s="26"/>
      <c r="D4" s="27"/>
      <c r="E4" s="27"/>
      <c r="F4" s="27"/>
      <c r="G4" s="27"/>
      <c r="H4" s="27"/>
      <c r="I4" s="27"/>
      <c r="J4" s="27"/>
      <c r="K4" s="28"/>
      <c r="L4" s="29"/>
    </row>
    <row r="5" spans="2:12" ht="12.75">
      <c r="B5" s="30"/>
      <c r="C5" s="27"/>
      <c r="D5" s="27"/>
      <c r="E5" s="31" t="s">
        <v>27</v>
      </c>
      <c r="F5" s="26"/>
      <c r="G5" s="31" t="s">
        <v>29</v>
      </c>
      <c r="H5" s="31"/>
      <c r="I5" s="31" t="s">
        <v>28</v>
      </c>
      <c r="J5" s="31"/>
      <c r="K5" s="32" t="s">
        <v>30</v>
      </c>
      <c r="L5" s="33"/>
    </row>
    <row r="6" spans="2:12" ht="12.75">
      <c r="B6" s="30" t="s">
        <v>26</v>
      </c>
      <c r="C6" s="27"/>
      <c r="D6" s="27"/>
      <c r="E6" s="34">
        <f ca="1">INDIRECT(ADDRESS(8,Data!$H1+4,,,"Forecast"))*100</f>
        <v>216000</v>
      </c>
      <c r="F6" s="27"/>
      <c r="G6" s="27"/>
      <c r="H6" s="27"/>
      <c r="I6" s="35"/>
      <c r="J6" s="27"/>
      <c r="K6" s="28"/>
      <c r="L6" s="29"/>
    </row>
    <row r="7" spans="2:12" ht="12.75">
      <c r="B7" s="30" t="s">
        <v>23</v>
      </c>
      <c r="C7" s="27"/>
      <c r="D7" s="27"/>
      <c r="E7" s="34">
        <f ca="1">INDIRECT(ADDRESS(11,Data!H$1+4,,,"Forecast"))*Check!E$6</f>
        <v>7992</v>
      </c>
      <c r="F7" s="27"/>
      <c r="G7" s="28">
        <f ca="1">INDIRECT(ADDRESS(12,6+Data!H$1,,,"Data"))</f>
        <v>1.5419999999999998</v>
      </c>
      <c r="H7" s="28"/>
      <c r="I7" s="35" t="s">
        <v>27</v>
      </c>
      <c r="J7" s="28"/>
      <c r="K7" s="28">
        <f>G7*E7</f>
        <v>12323.663999999999</v>
      </c>
      <c r="L7" s="36"/>
    </row>
    <row r="8" spans="2:12" ht="12.75">
      <c r="B8" s="30" t="s">
        <v>24</v>
      </c>
      <c r="C8" s="27"/>
      <c r="D8" s="27"/>
      <c r="E8" s="34">
        <f ca="1">INDIRECT(ADDRESS(12,Data!H$1+4,,,"Forecast"))*Check!E$6</f>
        <v>6480</v>
      </c>
      <c r="F8" s="27"/>
      <c r="G8" s="28">
        <f ca="1">INDIRECT(ADDRESS(13,6+Data!H$1,,,"Data"))</f>
        <v>1.8675027060003355</v>
      </c>
      <c r="H8" s="28"/>
      <c r="I8" s="35" t="s">
        <v>27</v>
      </c>
      <c r="J8" s="28"/>
      <c r="K8" s="28">
        <f>G8*E8</f>
        <v>12101.417534882174</v>
      </c>
      <c r="L8" s="36"/>
    </row>
    <row r="9" spans="2:12" ht="12.75">
      <c r="B9" s="30" t="s">
        <v>25</v>
      </c>
      <c r="C9" s="27"/>
      <c r="D9" s="27"/>
      <c r="E9" s="34">
        <f ca="1">INDIRECT(ADDRESS(13,Data!H$1+4,,,"Forecast"))*Check!E$6</f>
        <v>12960</v>
      </c>
      <c r="F9" s="27"/>
      <c r="G9" s="28">
        <f ca="1">INDIRECT(ADDRESS(14,6+Data!H$1,,,"Data"))</f>
        <v>0.07313000000000001</v>
      </c>
      <c r="H9" s="28"/>
      <c r="I9" s="35" t="s">
        <v>27</v>
      </c>
      <c r="J9" s="28"/>
      <c r="K9" s="37">
        <f>G9*E9</f>
        <v>947.7648000000002</v>
      </c>
      <c r="L9" s="36"/>
    </row>
    <row r="10" spans="2:12" ht="12.75">
      <c r="B10" s="30" t="s">
        <v>49</v>
      </c>
      <c r="C10" s="27" t="s">
        <v>50</v>
      </c>
      <c r="D10" s="27"/>
      <c r="E10" s="27"/>
      <c r="F10" s="27"/>
      <c r="G10" s="37">
        <f>K10/(E6/100)</f>
        <v>11.746688118001005</v>
      </c>
      <c r="H10" s="27"/>
      <c r="I10" s="27"/>
      <c r="J10" s="27"/>
      <c r="K10" s="28">
        <f>SUM(K7:K9)</f>
        <v>25372.84633488217</v>
      </c>
      <c r="L10" s="29"/>
    </row>
    <row r="11" spans="2:12" ht="12.75">
      <c r="B11" s="30"/>
      <c r="C11" s="27"/>
      <c r="D11" s="27"/>
      <c r="E11" s="27"/>
      <c r="F11" s="27"/>
      <c r="G11" s="27"/>
      <c r="H11" s="27"/>
      <c r="I11" s="27"/>
      <c r="J11" s="27"/>
      <c r="K11" s="28"/>
      <c r="L11" s="29"/>
    </row>
    <row r="12" spans="2:12" ht="12.75">
      <c r="B12" s="30" t="s">
        <v>31</v>
      </c>
      <c r="C12" s="27"/>
      <c r="D12" s="27"/>
      <c r="E12" s="27"/>
      <c r="F12" s="27"/>
      <c r="G12" s="28">
        <f ca="1">INDIRECT(ADDRESS(43,Data!H1+4,,,"Forecast"))</f>
        <v>0.15043126714427935</v>
      </c>
      <c r="H12" s="27"/>
      <c r="I12" s="35" t="s">
        <v>35</v>
      </c>
      <c r="J12" s="27"/>
      <c r="K12" s="28">
        <f ca="1">INDIRECT(ADDRESS(43,Data!H1+4,,,"Forecast"))*E6/100</f>
        <v>324.93153703164336</v>
      </c>
      <c r="L12" s="29"/>
    </row>
    <row r="13" spans="2:12" ht="12.75">
      <c r="B13" s="30" t="s">
        <v>32</v>
      </c>
      <c r="C13" s="27"/>
      <c r="D13" s="27"/>
      <c r="E13" s="27"/>
      <c r="F13" s="27"/>
      <c r="G13" s="58">
        <v>0.0005</v>
      </c>
      <c r="H13" s="27"/>
      <c r="I13" s="35" t="s">
        <v>35</v>
      </c>
      <c r="J13" s="27"/>
      <c r="K13" s="28">
        <f ca="1">(350000-INDIRECT(ADDRESS(15,Data!H1+4,,,"Forecast")))*G13*INDIRECT(ADDRESS(19,Data!H$1+4,,,"Forecast"))/100*E6/100</f>
        <v>0</v>
      </c>
      <c r="L13" s="29"/>
    </row>
    <row r="14" spans="2:12" ht="12.75">
      <c r="B14" s="30" t="s">
        <v>33</v>
      </c>
      <c r="C14" s="27"/>
      <c r="D14" s="27"/>
      <c r="E14" s="27"/>
      <c r="F14" s="27"/>
      <c r="G14" s="50">
        <v>0</v>
      </c>
      <c r="H14" s="27"/>
      <c r="I14" s="35" t="s">
        <v>35</v>
      </c>
      <c r="J14" s="27"/>
      <c r="K14" s="37">
        <f>G14*E6/100</f>
        <v>0</v>
      </c>
      <c r="L14" s="29"/>
    </row>
    <row r="15" spans="2:12" ht="12.75">
      <c r="B15" s="30" t="s">
        <v>64</v>
      </c>
      <c r="C15" s="27" t="s">
        <v>65</v>
      </c>
      <c r="D15" s="27"/>
      <c r="E15" s="27"/>
      <c r="F15" s="27"/>
      <c r="G15" s="96"/>
      <c r="H15" s="27"/>
      <c r="I15" s="27"/>
      <c r="J15" s="27"/>
      <c r="K15" s="28">
        <f>SUM(K10:K14)</f>
        <v>25697.777871913815</v>
      </c>
      <c r="L15" s="29"/>
    </row>
    <row r="16" spans="2:12" ht="12.75">
      <c r="B16" s="30"/>
      <c r="C16" s="27"/>
      <c r="D16" s="27"/>
      <c r="E16" s="27"/>
      <c r="F16" s="27"/>
      <c r="G16" s="27"/>
      <c r="H16" s="27"/>
      <c r="I16" s="27"/>
      <c r="J16" s="27"/>
      <c r="K16" s="28"/>
      <c r="L16" s="29"/>
    </row>
    <row r="17" spans="2:12" ht="12.75">
      <c r="B17" s="30" t="s">
        <v>248</v>
      </c>
      <c r="C17" s="27"/>
      <c r="D17" s="27"/>
      <c r="E17" s="27"/>
      <c r="F17" s="27"/>
      <c r="G17" s="50">
        <v>0.15</v>
      </c>
      <c r="H17" s="27"/>
      <c r="I17" s="35" t="s">
        <v>35</v>
      </c>
      <c r="J17" s="27"/>
      <c r="K17" s="28">
        <f>G17*E6/100</f>
        <v>324</v>
      </c>
      <c r="L17" s="29"/>
    </row>
    <row r="18" spans="2:12" ht="12.75">
      <c r="B18" s="30" t="s">
        <v>34</v>
      </c>
      <c r="C18" s="27"/>
      <c r="D18" s="27"/>
      <c r="E18" s="27"/>
      <c r="F18" s="27"/>
      <c r="G18" s="50">
        <v>-0.15</v>
      </c>
      <c r="H18" s="27"/>
      <c r="I18" s="35" t="s">
        <v>35</v>
      </c>
      <c r="J18" s="27"/>
      <c r="K18" s="28">
        <f>G18*E6/100</f>
        <v>-324</v>
      </c>
      <c r="L18" s="29"/>
    </row>
    <row r="19" spans="2:12" ht="12.75">
      <c r="B19" s="30" t="s">
        <v>36</v>
      </c>
      <c r="C19" s="27"/>
      <c r="D19" s="27"/>
      <c r="E19" s="27"/>
      <c r="F19" s="27"/>
      <c r="G19" s="50">
        <v>-0.1</v>
      </c>
      <c r="H19" s="27"/>
      <c r="I19" s="35" t="s">
        <v>35</v>
      </c>
      <c r="J19" s="27"/>
      <c r="K19" s="28">
        <f>G19*E6/100</f>
        <v>-216</v>
      </c>
      <c r="L19" s="29"/>
    </row>
    <row r="20" spans="2:12" ht="12.75">
      <c r="B20" s="30" t="s">
        <v>37</v>
      </c>
      <c r="C20" s="27"/>
      <c r="D20" s="27"/>
      <c r="E20" s="27"/>
      <c r="F20" s="27"/>
      <c r="G20" s="27"/>
      <c r="H20" s="27"/>
      <c r="I20" s="27"/>
      <c r="J20" s="27"/>
      <c r="K20" s="59">
        <v>0</v>
      </c>
      <c r="L20" s="29"/>
    </row>
    <row r="21" spans="2:12" ht="12.75">
      <c r="B21" s="30"/>
      <c r="C21" s="27"/>
      <c r="D21" s="27"/>
      <c r="E21" s="27"/>
      <c r="F21" s="27"/>
      <c r="G21" s="27"/>
      <c r="H21" s="27"/>
      <c r="I21" s="27"/>
      <c r="J21" s="27"/>
      <c r="K21" s="28"/>
      <c r="L21" s="29"/>
    </row>
    <row r="22" spans="2:12" ht="12.75">
      <c r="B22" s="30" t="s">
        <v>47</v>
      </c>
      <c r="C22" s="27"/>
      <c r="D22" s="27"/>
      <c r="E22" s="35" t="s">
        <v>52</v>
      </c>
      <c r="F22" s="27"/>
      <c r="G22" s="96">
        <f>K22/E6*100</f>
        <v>11.797119385145285</v>
      </c>
      <c r="H22" s="27"/>
      <c r="I22" s="27"/>
      <c r="J22" s="27"/>
      <c r="K22" s="28">
        <f>SUM(K15:K20)</f>
        <v>25481.777871913815</v>
      </c>
      <c r="L22" s="29"/>
    </row>
    <row r="23" spans="2:12" ht="12.75">
      <c r="B23" s="30" t="s">
        <v>48</v>
      </c>
      <c r="C23" s="27"/>
      <c r="D23" s="27"/>
      <c r="E23" s="27"/>
      <c r="F23" s="27"/>
      <c r="G23" s="27"/>
      <c r="H23" s="27"/>
      <c r="I23" s="27"/>
      <c r="J23" s="27"/>
      <c r="K23" s="37">
        <f ca="1">INDIRECT(ADDRESS(11,10+Data!$H1,,,"Hedge"))+INDIRECT(ADDRESS(21,11+Data!$H1,,,"Hedge"))</f>
        <v>0</v>
      </c>
      <c r="L23" s="29"/>
    </row>
    <row r="24" spans="2:12" ht="13.5" thickBot="1">
      <c r="B24" s="30"/>
      <c r="C24" s="27" t="s">
        <v>51</v>
      </c>
      <c r="D24" s="27"/>
      <c r="E24" s="35" t="s">
        <v>52</v>
      </c>
      <c r="F24" s="27"/>
      <c r="G24" s="37">
        <f>K24/(E6/100)</f>
        <v>11.797119385145285</v>
      </c>
      <c r="H24" s="27"/>
      <c r="I24" s="27"/>
      <c r="J24" s="27"/>
      <c r="K24" s="38">
        <f>SUM(K22:K23)</f>
        <v>25481.777871913815</v>
      </c>
      <c r="L24" s="29"/>
    </row>
    <row r="25" spans="2:12" ht="13.5" thickTop="1">
      <c r="B25" s="39"/>
      <c r="C25" s="40"/>
      <c r="D25" s="40"/>
      <c r="E25" s="40"/>
      <c r="F25" s="40"/>
      <c r="G25" s="40"/>
      <c r="H25" s="40"/>
      <c r="I25" s="40"/>
      <c r="J25" s="40"/>
      <c r="K25" s="37"/>
      <c r="L25" s="41"/>
    </row>
    <row r="26" spans="3:9" ht="12.75">
      <c r="C26" s="42"/>
      <c r="E26" s="43"/>
      <c r="F26" s="43"/>
      <c r="G26" s="43"/>
      <c r="H26" s="43"/>
      <c r="I26" s="44"/>
    </row>
    <row r="27" spans="5:9" ht="12.75">
      <c r="E27" s="46"/>
      <c r="F27" s="47"/>
      <c r="G27" s="48"/>
      <c r="H27" s="47"/>
      <c r="I27" s="48"/>
    </row>
    <row r="28" spans="5:9" ht="12.75">
      <c r="E28" s="46"/>
      <c r="F28" s="47"/>
      <c r="G28" s="48"/>
      <c r="H28" s="47"/>
      <c r="I28" s="48"/>
    </row>
    <row r="29" spans="5:9" ht="12.75">
      <c r="E29" s="46"/>
      <c r="F29" s="47"/>
      <c r="G29" s="48"/>
      <c r="H29" s="47"/>
      <c r="I29" s="48"/>
    </row>
    <row r="30" spans="5:9" ht="12.75">
      <c r="E30" s="46"/>
      <c r="F30" s="47"/>
      <c r="G30" s="48"/>
      <c r="H30" s="47"/>
      <c r="I30" s="48"/>
    </row>
    <row r="31" spans="5:9" ht="12.75">
      <c r="E31" s="46"/>
      <c r="F31" s="47"/>
      <c r="G31" s="48"/>
      <c r="H31" s="47"/>
      <c r="I31" s="48"/>
    </row>
    <row r="32" spans="5:9" ht="12.75">
      <c r="E32" s="46"/>
      <c r="F32" s="47"/>
      <c r="G32" s="48"/>
      <c r="H32" s="47"/>
      <c r="I32" s="48"/>
    </row>
    <row r="33" spans="5:9" ht="12.75">
      <c r="E33" s="46"/>
      <c r="F33" s="47"/>
      <c r="G33" s="48"/>
      <c r="H33" s="47"/>
      <c r="I33" s="48"/>
    </row>
    <row r="34" spans="5:9" ht="12.75">
      <c r="E34" s="46"/>
      <c r="F34" s="47"/>
      <c r="G34" s="48"/>
      <c r="H34" s="47"/>
      <c r="I34" s="48"/>
    </row>
    <row r="35" spans="5:9" ht="12.75">
      <c r="E35" s="49"/>
      <c r="G35" s="45"/>
      <c r="I35" s="48"/>
    </row>
    <row r="36" spans="3:9" ht="12.75">
      <c r="C36" s="42"/>
      <c r="E36" s="49"/>
      <c r="G36" s="45"/>
      <c r="I36" s="48"/>
    </row>
    <row r="37" spans="5:9" ht="12.75">
      <c r="E37" s="46"/>
      <c r="G37" s="48"/>
      <c r="I37" s="48"/>
    </row>
    <row r="38" spans="5:9" ht="12.75">
      <c r="E38" s="46"/>
      <c r="G38" s="48"/>
      <c r="I38" s="48"/>
    </row>
    <row r="39" spans="5:9" ht="12.75">
      <c r="E39" s="49"/>
      <c r="G39" s="45"/>
      <c r="I39" s="48"/>
    </row>
    <row r="40" spans="5:9" ht="12.75">
      <c r="E40" s="46"/>
      <c r="G40" s="48"/>
      <c r="I40" s="48"/>
    </row>
    <row r="41" spans="5:9" ht="12.75">
      <c r="E41" s="46"/>
      <c r="G41" s="48"/>
      <c r="I41" s="48"/>
    </row>
    <row r="42" spans="5:9" ht="12.75">
      <c r="E42" s="49"/>
      <c r="G42" s="45"/>
      <c r="I42" s="48"/>
    </row>
    <row r="43" spans="5:9" ht="12.75">
      <c r="E43" s="46"/>
      <c r="G43" s="48"/>
      <c r="I43" s="48"/>
    </row>
    <row r="44" spans="5:9" ht="12.75">
      <c r="E44" s="46"/>
      <c r="G44" s="48"/>
      <c r="I44" s="48"/>
    </row>
    <row r="45" ht="12.75">
      <c r="I45" s="45"/>
    </row>
    <row r="48" spans="3:9" ht="12.75">
      <c r="C48" s="42"/>
      <c r="I48" s="45"/>
    </row>
    <row r="50" ht="12.75">
      <c r="B50" s="42"/>
    </row>
  </sheetData>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A1:AJ104"/>
  <sheetViews>
    <sheetView workbookViewId="0" topLeftCell="A1">
      <selection activeCell="A52" sqref="A52"/>
    </sheetView>
  </sheetViews>
  <sheetFormatPr defaultColWidth="9.140625" defaultRowHeight="12.75"/>
  <cols>
    <col min="1" max="1" width="12.8515625" style="0" customWidth="1"/>
    <col min="2" max="2" width="10.57421875" style="0" customWidth="1"/>
    <col min="3" max="3" width="10.00390625" style="0" bestFit="1" customWidth="1"/>
    <col min="6" max="6" width="22.421875" style="0" customWidth="1"/>
    <col min="7" max="7" width="14.00390625" style="0" customWidth="1"/>
    <col min="8" max="8" width="3.7109375" style="0" customWidth="1"/>
    <col min="10" max="10" width="3.7109375" style="0" customWidth="1"/>
    <col min="14" max="14" width="14.57421875" style="0" customWidth="1"/>
    <col min="26" max="26" width="22.00390625" style="0" customWidth="1"/>
    <col min="27" max="27" width="14.00390625" style="0" bestFit="1" customWidth="1"/>
    <col min="28" max="35" width="12.7109375" style="0" customWidth="1"/>
  </cols>
  <sheetData>
    <row r="1" spans="1:33" ht="12.75">
      <c r="A1" t="s">
        <v>2</v>
      </c>
      <c r="B1" s="114" t="s">
        <v>138</v>
      </c>
      <c r="C1" s="71">
        <f>MAX(C2:C97)</f>
        <v>12</v>
      </c>
      <c r="D1" s="71">
        <f>MAX(D2:D97)</f>
        <v>30</v>
      </c>
      <c r="E1" t="str">
        <f ca="1">INDIRECT(ADDRESS(16+C1,13))</f>
        <v>December</v>
      </c>
      <c r="G1" t="s">
        <v>53</v>
      </c>
      <c r="H1">
        <f>MAX(G2:G4)</f>
        <v>3</v>
      </c>
      <c r="M1" s="53" t="s">
        <v>108</v>
      </c>
      <c r="N1" t="s">
        <v>102</v>
      </c>
      <c r="O1">
        <f>MAX(N2:N12)</f>
        <v>6</v>
      </c>
      <c r="P1" t="str">
        <f ca="1">INDIRECT(ADDRESS(O$1+1,16))</f>
        <v>Chicago</v>
      </c>
      <c r="Q1">
        <f ca="1">INDIRECT(ADDRESS(O1+1,17))</f>
        <v>1.8</v>
      </c>
      <c r="Z1" t="s">
        <v>155</v>
      </c>
      <c r="AC1" t="s">
        <v>158</v>
      </c>
      <c r="AG1" t="s">
        <v>157</v>
      </c>
    </row>
    <row r="2" spans="1:35" ht="12.75">
      <c r="A2" s="113" t="s">
        <v>127</v>
      </c>
      <c r="B2" s="113" t="s">
        <v>127</v>
      </c>
      <c r="C2">
        <f>IF(D2&gt;0,E2,0)</f>
        <v>0</v>
      </c>
      <c r="D2">
        <f>IF(A2=B$1,30,0)</f>
        <v>0</v>
      </c>
      <c r="E2">
        <v>1</v>
      </c>
      <c r="F2" s="9" t="s">
        <v>63</v>
      </c>
      <c r="G2">
        <f>IF(G$1=F2,1,0)</f>
        <v>0</v>
      </c>
      <c r="M2" s="68" t="s">
        <v>97</v>
      </c>
      <c r="N2">
        <f>IF(M2=N$1,O2,0)</f>
        <v>0</v>
      </c>
      <c r="O2">
        <v>1</v>
      </c>
      <c r="P2" s="74" t="s">
        <v>139</v>
      </c>
      <c r="Q2" s="75">
        <v>3.25</v>
      </c>
      <c r="AA2" t="s">
        <v>56</v>
      </c>
      <c r="AB2" t="s">
        <v>57</v>
      </c>
      <c r="AC2" t="s">
        <v>58</v>
      </c>
      <c r="AD2" t="s">
        <v>59</v>
      </c>
      <c r="AE2" t="s">
        <v>82</v>
      </c>
      <c r="AF2" t="s">
        <v>83</v>
      </c>
      <c r="AG2" t="s">
        <v>84</v>
      </c>
      <c r="AH2" t="s">
        <v>76</v>
      </c>
      <c r="AI2" s="76" t="s">
        <v>93</v>
      </c>
    </row>
    <row r="3" spans="1:26" ht="12.75">
      <c r="A3" s="113" t="s">
        <v>249</v>
      </c>
      <c r="B3" s="113" t="s">
        <v>249</v>
      </c>
      <c r="C3">
        <f aca="true" t="shared" si="0" ref="C3:C27">IF(D3&gt;0,E3,0)</f>
        <v>0</v>
      </c>
      <c r="D3">
        <f>IF(A3=B$1,30,0)</f>
        <v>0</v>
      </c>
      <c r="E3">
        <f>E2+1</f>
        <v>2</v>
      </c>
      <c r="F3" s="9" t="s">
        <v>53</v>
      </c>
      <c r="G3">
        <f>IF(G$1=F3,3,0)</f>
        <v>3</v>
      </c>
      <c r="M3" s="68" t="s">
        <v>98</v>
      </c>
      <c r="N3">
        <f aca="true" t="shared" si="1" ref="N3:N12">IF(M3=N$1,O3,0)</f>
        <v>0</v>
      </c>
      <c r="O3">
        <f>O2+1</f>
        <v>2</v>
      </c>
      <c r="P3" s="74" t="s">
        <v>140</v>
      </c>
      <c r="Q3" s="75">
        <v>3.1</v>
      </c>
      <c r="Z3" t="s">
        <v>67</v>
      </c>
    </row>
    <row r="4" spans="1:36" ht="12.75">
      <c r="A4" s="113" t="s">
        <v>129</v>
      </c>
      <c r="B4" s="113" t="s">
        <v>129</v>
      </c>
      <c r="C4">
        <f t="shared" si="0"/>
        <v>0</v>
      </c>
      <c r="D4">
        <f>IF(A4=B$1,30,0)</f>
        <v>0</v>
      </c>
      <c r="E4">
        <f aca="true" t="shared" si="2" ref="E4:E13">E3+1</f>
        <v>3</v>
      </c>
      <c r="F4" s="9" t="s">
        <v>62</v>
      </c>
      <c r="G4">
        <f>IF(G$1=F4,5,0)</f>
        <v>0</v>
      </c>
      <c r="M4" s="68" t="s">
        <v>99</v>
      </c>
      <c r="N4">
        <f t="shared" si="1"/>
        <v>0</v>
      </c>
      <c r="O4">
        <f aca="true" t="shared" si="3" ref="O4:O12">O3+1</f>
        <v>3</v>
      </c>
      <c r="P4" s="74" t="s">
        <v>141</v>
      </c>
      <c r="Q4" s="75">
        <v>3.1</v>
      </c>
      <c r="Z4" s="82" t="s">
        <v>68</v>
      </c>
      <c r="AA4" s="56">
        <f>(Forecast!E18-0.115)/0.82</f>
        <v>1.079268292682927</v>
      </c>
      <c r="AB4" s="56">
        <f>(Forecast!$G18-0.115)/0.82</f>
        <v>1.5670731707317074</v>
      </c>
      <c r="AC4" s="56">
        <f>(Forecast!$G18-0.115)/0.82</f>
        <v>1.5670731707317074</v>
      </c>
      <c r="AD4" s="56">
        <f>(Forecast!$G18-0.115)/0.82</f>
        <v>1.5670731707317074</v>
      </c>
      <c r="AE4" s="56">
        <f>(Forecast!$G18-0.115)/0.82</f>
        <v>1.5670731707317074</v>
      </c>
      <c r="AF4" s="56">
        <f>(Forecast!$G18-0.115)/0.82</f>
        <v>1.5670731707317074</v>
      </c>
      <c r="AG4" s="56">
        <f>(Forecast!$G18-0.115)/0.82</f>
        <v>1.5670731707317074</v>
      </c>
      <c r="AH4" s="56">
        <f>(Forecast!$G18-0.115)/0.82</f>
        <v>1.5670731707317074</v>
      </c>
      <c r="AI4" s="56">
        <f>(Forecast!$G18-0.115)/0.82</f>
        <v>1.5670731707317074</v>
      </c>
      <c r="AJ4" s="56"/>
    </row>
    <row r="5" spans="1:36" ht="12.75">
      <c r="A5" s="113" t="s">
        <v>130</v>
      </c>
      <c r="B5" s="113" t="s">
        <v>130</v>
      </c>
      <c r="C5">
        <f t="shared" si="0"/>
        <v>0</v>
      </c>
      <c r="D5">
        <f>IF(A5=B$1,30,0)</f>
        <v>0</v>
      </c>
      <c r="E5">
        <f t="shared" si="2"/>
        <v>4</v>
      </c>
      <c r="M5" s="68" t="s">
        <v>100</v>
      </c>
      <c r="N5">
        <f t="shared" si="1"/>
        <v>0</v>
      </c>
      <c r="O5">
        <f t="shared" si="3"/>
        <v>4</v>
      </c>
      <c r="P5" s="74" t="s">
        <v>142</v>
      </c>
      <c r="Q5" s="75">
        <v>4</v>
      </c>
      <c r="Z5" s="82" t="s">
        <v>24</v>
      </c>
      <c r="AA5" s="61">
        <f>(Forecast!$G19-0.165)*1.405+(((Forecast!$G19-0.165)*1.582)-0.9*AA4)*1.28</f>
        <v>2.4729718477144007</v>
      </c>
      <c r="AB5" s="61">
        <f>(Forecast!$E19-0.165)*1.405+(((Forecast!$E19-0.165)*1.582)-0.9*AB4)*1.28</f>
        <v>1.9605667597128904</v>
      </c>
      <c r="AC5" s="61">
        <f>(Forecast!$G19-0.165)*1.405+(((Forecast!$G19-0.165)*1.582)-0.9*AC4)*1.28</f>
        <v>1.9110206282022058</v>
      </c>
      <c r="AD5" s="61">
        <f>(Forecast!$G19-0.165)*1.405+(((Forecast!$G19-0.165)*1.582)-0.9*AD4)*1.28</f>
        <v>1.9110206282022058</v>
      </c>
      <c r="AE5" s="61">
        <f>(Forecast!$G19-0.165)*1.405+(((Forecast!$G19-0.165)*1.582)-0.9*AE4)*1.28</f>
        <v>1.9110206282022058</v>
      </c>
      <c r="AF5" s="61">
        <f>(Forecast!$G19-0.165)*1.405+(((Forecast!$G19-0.165)*1.582)-0.9*AF4)*1.28</f>
        <v>1.9110206282022058</v>
      </c>
      <c r="AG5" s="61">
        <f>(Forecast!$G19-0.165)*1.405+(((Forecast!$G19-0.165)*1.582)-0.9*AG4)*1.28</f>
        <v>1.9110206282022058</v>
      </c>
      <c r="AH5" s="61">
        <f>(Forecast!$G19-0.165)*1.405+(((Forecast!$G19-0.165)*1.582)-0.9*AH4)*1.28</f>
        <v>1.9110206282022058</v>
      </c>
      <c r="AI5" s="61">
        <f>(Forecast!$G19-0.165)*1.405+(((Forecast!$G19-0.165)*1.582)-0.9*AI4)*1.28</f>
        <v>1.9110206282022058</v>
      </c>
      <c r="AJ5" s="61"/>
    </row>
    <row r="6" spans="1:36" ht="12.75" customHeight="1">
      <c r="A6" s="113" t="s">
        <v>131</v>
      </c>
      <c r="B6" s="113" t="s">
        <v>131</v>
      </c>
      <c r="C6">
        <f t="shared" si="0"/>
        <v>0</v>
      </c>
      <c r="D6">
        <f aca="true" t="shared" si="4" ref="D6:D13">IF(A6=B$1,30,0)</f>
        <v>0</v>
      </c>
      <c r="E6">
        <f t="shared" si="2"/>
        <v>5</v>
      </c>
      <c r="M6" s="68" t="s">
        <v>101</v>
      </c>
      <c r="N6">
        <f t="shared" si="1"/>
        <v>0</v>
      </c>
      <c r="O6">
        <f t="shared" si="3"/>
        <v>5</v>
      </c>
      <c r="P6" s="74" t="s">
        <v>143</v>
      </c>
      <c r="Q6" s="75">
        <v>2</v>
      </c>
      <c r="Z6" s="82" t="s">
        <v>25</v>
      </c>
      <c r="AA6" s="56">
        <f>(Forecast!$G20-0.159)/0.968</f>
        <v>0.07334710743801653</v>
      </c>
      <c r="AB6" s="56">
        <f>(Forecast!$G20-0.159)/0.968</f>
        <v>0.07334710743801653</v>
      </c>
      <c r="AC6" s="56">
        <f>(Forecast!$E20-0.159)/0.968</f>
        <v>0.0784090909090909</v>
      </c>
      <c r="AD6" s="56">
        <f>(Forecast!$G20-0.159)/0.968</f>
        <v>0.07334710743801653</v>
      </c>
      <c r="AE6" s="56">
        <f>(Forecast!$G20-0.159)/0.968</f>
        <v>0.07334710743801653</v>
      </c>
      <c r="AF6" s="56">
        <f>(Forecast!$G20-0.159)/0.968</f>
        <v>0.07334710743801653</v>
      </c>
      <c r="AG6" s="56">
        <f>(Forecast!$G20-0.159)/0.968</f>
        <v>0.07334710743801653</v>
      </c>
      <c r="AH6" s="56">
        <f>(Forecast!$G20-0.159)/0.968</f>
        <v>0.07334710743801653</v>
      </c>
      <c r="AI6" s="56">
        <f>(Forecast!$G20-0.159)/0.968</f>
        <v>0.07334710743801653</v>
      </c>
      <c r="AJ6" s="56"/>
    </row>
    <row r="7" spans="1:36" ht="12.75" customHeight="1">
      <c r="A7" s="113" t="s">
        <v>132</v>
      </c>
      <c r="B7" s="113" t="s">
        <v>132</v>
      </c>
      <c r="C7">
        <f t="shared" si="0"/>
        <v>0</v>
      </c>
      <c r="D7">
        <f t="shared" si="4"/>
        <v>0</v>
      </c>
      <c r="E7">
        <f t="shared" si="2"/>
        <v>6</v>
      </c>
      <c r="M7" s="68" t="s">
        <v>102</v>
      </c>
      <c r="N7">
        <f t="shared" si="1"/>
        <v>6</v>
      </c>
      <c r="O7">
        <f t="shared" si="3"/>
        <v>6</v>
      </c>
      <c r="P7" s="74" t="s">
        <v>144</v>
      </c>
      <c r="Q7" s="75">
        <v>1.8</v>
      </c>
      <c r="Z7" s="82" t="s">
        <v>69</v>
      </c>
      <c r="AA7" s="61">
        <f>Forecast!$G21-0.14</f>
        <v>0.67</v>
      </c>
      <c r="AB7" s="61">
        <f>Forecast!$G21-0.14</f>
        <v>0.67</v>
      </c>
      <c r="AC7" s="61">
        <f>Forecast!$G21-0.14</f>
        <v>0.67</v>
      </c>
      <c r="AD7" s="61">
        <f>Forecast!$E21-0.14</f>
        <v>0.67</v>
      </c>
      <c r="AE7" s="61">
        <f>Forecast!$G21-0.14</f>
        <v>0.67</v>
      </c>
      <c r="AF7" s="61">
        <f>Forecast!$G21-0.14</f>
        <v>0.67</v>
      </c>
      <c r="AG7" s="61">
        <f>Forecast!$G21-0.14</f>
        <v>0.67</v>
      </c>
      <c r="AH7" s="61">
        <f>Forecast!$G21-0.14</f>
        <v>0.67</v>
      </c>
      <c r="AI7" s="61">
        <f>Forecast!$G21-0.14</f>
        <v>0.67</v>
      </c>
      <c r="AJ7" s="61"/>
    </row>
    <row r="8" spans="1:36" ht="12.75" customHeight="1">
      <c r="A8" s="113" t="s">
        <v>133</v>
      </c>
      <c r="B8" s="113" t="s">
        <v>133</v>
      </c>
      <c r="C8">
        <f t="shared" si="0"/>
        <v>0</v>
      </c>
      <c r="D8">
        <f t="shared" si="4"/>
        <v>0</v>
      </c>
      <c r="E8">
        <f t="shared" si="2"/>
        <v>7</v>
      </c>
      <c r="F8" t="s">
        <v>66</v>
      </c>
      <c r="M8" s="68" t="s">
        <v>103</v>
      </c>
      <c r="N8">
        <f t="shared" si="1"/>
        <v>0</v>
      </c>
      <c r="O8">
        <f t="shared" si="3"/>
        <v>7</v>
      </c>
      <c r="P8" s="74" t="s">
        <v>145</v>
      </c>
      <c r="Q8" s="75">
        <v>2</v>
      </c>
      <c r="Z8" s="84" t="s">
        <v>75</v>
      </c>
      <c r="AA8" s="61">
        <f>Forecast!$G27-0.14</f>
        <v>0.74</v>
      </c>
      <c r="AB8" s="61">
        <f>Forecast!$G27-0.14</f>
        <v>0.74</v>
      </c>
      <c r="AC8" s="61">
        <f>Forecast!$G27-0.14</f>
        <v>0.74</v>
      </c>
      <c r="AD8" s="61">
        <f>Forecast!$G27-0.14</f>
        <v>0.74</v>
      </c>
      <c r="AE8" s="61">
        <f>Forecast!$G27-0.14</f>
        <v>0.74</v>
      </c>
      <c r="AF8" s="61">
        <f>Forecast!$G27-0.14</f>
        <v>0.74</v>
      </c>
      <c r="AG8" s="61">
        <f>Forecast!$G27-0.14</f>
        <v>0.74</v>
      </c>
      <c r="AH8" s="61">
        <f>Forecast!$E27-0.14</f>
        <v>0.67</v>
      </c>
      <c r="AI8" s="61">
        <f>Forecast!$G27-0.14</f>
        <v>0.74</v>
      </c>
      <c r="AJ8" s="61"/>
    </row>
    <row r="9" spans="1:36" ht="12.75" customHeight="1">
      <c r="A9" s="113" t="s">
        <v>134</v>
      </c>
      <c r="B9" s="113" t="s">
        <v>134</v>
      </c>
      <c r="C9">
        <f t="shared" si="0"/>
        <v>0</v>
      </c>
      <c r="D9">
        <f t="shared" si="4"/>
        <v>0</v>
      </c>
      <c r="E9">
        <f t="shared" si="2"/>
        <v>8</v>
      </c>
      <c r="M9" s="68" t="s">
        <v>104</v>
      </c>
      <c r="N9">
        <f t="shared" si="1"/>
        <v>0</v>
      </c>
      <c r="O9">
        <f t="shared" si="3"/>
        <v>8</v>
      </c>
      <c r="P9" s="74" t="s">
        <v>146</v>
      </c>
      <c r="Q9" s="75">
        <v>3</v>
      </c>
      <c r="Z9" s="84" t="s">
        <v>81</v>
      </c>
      <c r="AA9" s="61">
        <f>(Forecast!$G24-0.115)/0.82</f>
        <v>1.176829268292683</v>
      </c>
      <c r="AB9" s="61">
        <f>(Forecast!$G24-0.115)/0.82</f>
        <v>1.176829268292683</v>
      </c>
      <c r="AC9" s="61">
        <f>(Forecast!$G24-0.115)/0.82</f>
        <v>1.176829268292683</v>
      </c>
      <c r="AD9" s="61">
        <f>(Forecast!$G24-0.115)/0.82</f>
        <v>1.176829268292683</v>
      </c>
      <c r="AE9" s="61">
        <f>(Forecast!$E24-0.115)/0.82</f>
        <v>1.079268292682927</v>
      </c>
      <c r="AF9" s="61">
        <f>(Forecast!$G24-0.115)/0.82</f>
        <v>1.176829268292683</v>
      </c>
      <c r="AG9" s="61">
        <f>(Forecast!$G24-0.115)/0.82</f>
        <v>1.176829268292683</v>
      </c>
      <c r="AH9" s="61">
        <f>(Forecast!$G24-0.115)/0.82</f>
        <v>1.176829268292683</v>
      </c>
      <c r="AI9" s="61">
        <f>(Forecast!$G24-0.115)/0.82</f>
        <v>1.176829268292683</v>
      </c>
      <c r="AJ9" s="61"/>
    </row>
    <row r="10" spans="1:36" ht="12.75" customHeight="1">
      <c r="A10" s="113" t="s">
        <v>135</v>
      </c>
      <c r="B10" s="113" t="s">
        <v>135</v>
      </c>
      <c r="C10">
        <f t="shared" si="0"/>
        <v>0</v>
      </c>
      <c r="D10">
        <f t="shared" si="4"/>
        <v>0</v>
      </c>
      <c r="E10">
        <f t="shared" si="2"/>
        <v>9</v>
      </c>
      <c r="M10" s="68" t="s">
        <v>107</v>
      </c>
      <c r="N10">
        <f t="shared" si="1"/>
        <v>0</v>
      </c>
      <c r="O10">
        <f t="shared" si="3"/>
        <v>9</v>
      </c>
      <c r="P10" s="74" t="s">
        <v>147</v>
      </c>
      <c r="Q10" s="75">
        <v>2.35</v>
      </c>
      <c r="Z10" s="84" t="s">
        <v>85</v>
      </c>
      <c r="AA10" s="61">
        <f>(Forecast!$G25-0.165)*1.405+(((Forecast!$G25-0.165)*1.582)-0.9*Data!AA9)*1.17</f>
        <v>2.0330184804878044</v>
      </c>
      <c r="AB10" s="61">
        <f>(Forecast!$G25-0.165)*1.405+(((Forecast!$G25-0.165)*1.582)-0.9*Data!AB9)*1.17</f>
        <v>2.0330184804878044</v>
      </c>
      <c r="AC10" s="61">
        <f>(Forecast!$G25-0.165)*1.405+(((Forecast!$G25-0.165)*1.582)-0.9*Data!AC9)*1.17</f>
        <v>2.0330184804878044</v>
      </c>
      <c r="AD10" s="61">
        <f>(Forecast!$G25-0.165)*1.405+(((Forecast!$G25-0.165)*1.582)-0.9*Data!AD9)*1.17</f>
        <v>2.0330184804878044</v>
      </c>
      <c r="AE10" s="61">
        <f>(Forecast!$G25-0.165)*1.405+(((Forecast!$G25-0.165)*1.582)-0.9*Data!AE9)*1.17</f>
        <v>2.1357501878048777</v>
      </c>
      <c r="AF10" s="61">
        <f>(Forecast!$E25-0.165)*1.405+(((Forecast!$E25-0.165)*1.582)-0.9*Data!AF9)*1.17</f>
        <v>2.335573116193655</v>
      </c>
      <c r="AG10" s="61">
        <f>(Forecast!$G25-0.165)*1.405+(((Forecast!$G25-0.165)*1.582)-0.9*Data!AG9)*1.17</f>
        <v>2.0330184804878044</v>
      </c>
      <c r="AH10" s="61">
        <f>(Forecast!$G25-0.165)*1.405+(((Forecast!$G25-0.165)*1.582)-0.9*Data!AH9)*1.17</f>
        <v>2.0330184804878044</v>
      </c>
      <c r="AI10" s="61">
        <f>(Forecast!$G25-0.165)*1.405+(((Forecast!$G25-0.165)*1.582)-0.9*Data!AI9)*1.17</f>
        <v>2.0330184804878044</v>
      </c>
      <c r="AJ10" s="61"/>
    </row>
    <row r="11" spans="1:36" ht="12.75" customHeight="1">
      <c r="A11" s="113" t="s">
        <v>136</v>
      </c>
      <c r="B11" s="113" t="s">
        <v>136</v>
      </c>
      <c r="C11">
        <f t="shared" si="0"/>
        <v>0</v>
      </c>
      <c r="D11">
        <f t="shared" si="4"/>
        <v>0</v>
      </c>
      <c r="E11">
        <f t="shared" si="2"/>
        <v>10</v>
      </c>
      <c r="F11" t="s">
        <v>67</v>
      </c>
      <c r="M11" s="68" t="s">
        <v>105</v>
      </c>
      <c r="N11">
        <f t="shared" si="1"/>
        <v>0</v>
      </c>
      <c r="O11">
        <f t="shared" si="3"/>
        <v>10</v>
      </c>
      <c r="P11" s="74" t="s">
        <v>148</v>
      </c>
      <c r="Q11" s="75">
        <v>1.9</v>
      </c>
      <c r="Y11" s="61"/>
      <c r="Z11" s="84" t="s">
        <v>86</v>
      </c>
      <c r="AA11" s="61">
        <f>(Forecast!$G$26-0.159)/0.968</f>
        <v>0.07334710743801653</v>
      </c>
      <c r="AB11" s="61">
        <f>(Forecast!$G$26-0.159)/0.968</f>
        <v>0.07334710743801653</v>
      </c>
      <c r="AC11" s="61">
        <f>(Forecast!$G$26-0.159)/0.968</f>
        <v>0.07334710743801653</v>
      </c>
      <c r="AD11" s="61">
        <f>(Forecast!$G$26-0.159)/0.968</f>
        <v>0.07334710743801653</v>
      </c>
      <c r="AE11" s="61">
        <f>(Forecast!$G$26-0.159)/0.968</f>
        <v>0.07334710743801653</v>
      </c>
      <c r="AF11" s="61">
        <f>(Forecast!$G$26-0.159)/0.968</f>
        <v>0.07334710743801653</v>
      </c>
      <c r="AG11" s="61">
        <f>(Forecast!$G$26-0.159)/0.968</f>
        <v>0.07334710743801653</v>
      </c>
      <c r="AH11" s="61">
        <f>(Forecast!$E$26-0.159)/0.968</f>
        <v>0.0784090909090909</v>
      </c>
      <c r="AI11" s="61">
        <f>(Forecast!$G$26-0.159)/0.968</f>
        <v>0.07334710743801653</v>
      </c>
      <c r="AJ11" s="61"/>
    </row>
    <row r="12" spans="1:36" ht="12.75" customHeight="1">
      <c r="A12" s="113" t="s">
        <v>137</v>
      </c>
      <c r="B12" s="113" t="s">
        <v>137</v>
      </c>
      <c r="C12">
        <f t="shared" si="0"/>
        <v>0</v>
      </c>
      <c r="D12">
        <f t="shared" si="4"/>
        <v>0</v>
      </c>
      <c r="E12">
        <f t="shared" si="2"/>
        <v>11</v>
      </c>
      <c r="F12" s="60" t="s">
        <v>68</v>
      </c>
      <c r="G12" s="56">
        <f>(Forecast!E18-0.115)*1.2</f>
        <v>1.062</v>
      </c>
      <c r="H12" s="56"/>
      <c r="I12" s="56">
        <f>(Forecast!G18-0.115)*1.2</f>
        <v>1.5419999999999998</v>
      </c>
      <c r="J12" s="56"/>
      <c r="K12" s="56">
        <f>(Forecast!I18-0.115)*1.2</f>
        <v>2.022</v>
      </c>
      <c r="M12" s="68" t="s">
        <v>106</v>
      </c>
      <c r="N12">
        <f t="shared" si="1"/>
        <v>0</v>
      </c>
      <c r="O12">
        <f t="shared" si="3"/>
        <v>11</v>
      </c>
      <c r="P12" s="74" t="s">
        <v>149</v>
      </c>
      <c r="Q12" s="75">
        <v>1.9</v>
      </c>
      <c r="Z12" s="87" t="s">
        <v>87</v>
      </c>
      <c r="AA12" s="61">
        <f>3.1*AA10+5.9*AA11</f>
        <v>6.735105223396491</v>
      </c>
      <c r="AB12" s="61">
        <f aca="true" t="shared" si="5" ref="AB12:AI12">3.1*AB10+5.9*AB11</f>
        <v>6.735105223396491</v>
      </c>
      <c r="AC12" s="61">
        <f t="shared" si="5"/>
        <v>6.735105223396491</v>
      </c>
      <c r="AD12" s="61">
        <f t="shared" si="5"/>
        <v>6.735105223396491</v>
      </c>
      <c r="AE12" s="61">
        <f t="shared" si="5"/>
        <v>7.053573516079419</v>
      </c>
      <c r="AF12" s="61">
        <f t="shared" si="5"/>
        <v>7.6730245940846284</v>
      </c>
      <c r="AG12" s="61">
        <f t="shared" si="5"/>
        <v>6.735105223396491</v>
      </c>
      <c r="AH12" s="61">
        <f t="shared" si="5"/>
        <v>6.76497092587583</v>
      </c>
      <c r="AI12" s="61">
        <f t="shared" si="5"/>
        <v>6.735105223396491</v>
      </c>
      <c r="AJ12" s="61"/>
    </row>
    <row r="13" spans="1:36" ht="12.75" customHeight="1">
      <c r="A13" s="113" t="s">
        <v>138</v>
      </c>
      <c r="B13" s="113" t="s">
        <v>138</v>
      </c>
      <c r="C13">
        <f t="shared" si="0"/>
        <v>12</v>
      </c>
      <c r="D13">
        <f t="shared" si="4"/>
        <v>30</v>
      </c>
      <c r="E13">
        <f t="shared" si="2"/>
        <v>12</v>
      </c>
      <c r="F13" s="60" t="s">
        <v>24</v>
      </c>
      <c r="G13" s="61">
        <f>(Forecast!E19-0.165)*1.383+(((Forecast!E19-0.165)*1.572)-0.9*G12)*1.17</f>
        <v>2.4194883003509946</v>
      </c>
      <c r="H13" s="61"/>
      <c r="I13" s="61">
        <f>(Forecast!G19-0.165)*1.383+(((Forecast!G19-0.165)*1.572)-0.9*I12)*1.17</f>
        <v>1.8675027060003355</v>
      </c>
      <c r="J13" s="61"/>
      <c r="K13" s="61">
        <f>(Forecast!I19-0.165)*1.383+(((Forecast!I19-0.165)*1.572)-0.9*K12)*1.17</f>
        <v>1.2667050793916104</v>
      </c>
      <c r="Z13" s="85" t="s">
        <v>88</v>
      </c>
      <c r="AA13" s="17">
        <f>9*AA8</f>
        <v>6.66</v>
      </c>
      <c r="AB13" s="17">
        <f aca="true" t="shared" si="6" ref="AB13:AI13">9*AB8</f>
        <v>6.66</v>
      </c>
      <c r="AC13" s="17">
        <f t="shared" si="6"/>
        <v>6.66</v>
      </c>
      <c r="AD13" s="17">
        <f t="shared" si="6"/>
        <v>6.66</v>
      </c>
      <c r="AE13" s="17">
        <f t="shared" si="6"/>
        <v>6.66</v>
      </c>
      <c r="AF13" s="17">
        <f t="shared" si="6"/>
        <v>6.66</v>
      </c>
      <c r="AG13" s="17">
        <f t="shared" si="6"/>
        <v>6.66</v>
      </c>
      <c r="AH13" s="17">
        <f t="shared" si="6"/>
        <v>6.03</v>
      </c>
      <c r="AI13" s="17">
        <f t="shared" si="6"/>
        <v>6.66</v>
      </c>
      <c r="AJ13" s="17"/>
    </row>
    <row r="14" spans="1:27" ht="12.75" customHeight="1">
      <c r="A14" s="4" t="s">
        <v>3</v>
      </c>
      <c r="B14" s="3">
        <v>37622</v>
      </c>
      <c r="C14">
        <f t="shared" si="0"/>
        <v>0</v>
      </c>
      <c r="D14">
        <f aca="true" t="shared" si="7" ref="D14:D27">IF(A14=B$1,A15-A14,0)</f>
        <v>0</v>
      </c>
      <c r="E14">
        <f>E2</f>
        <v>1</v>
      </c>
      <c r="F14" s="60" t="s">
        <v>25</v>
      </c>
      <c r="G14" s="56">
        <f>(Forecast!E20-0.159)*1.03</f>
        <v>0.078177</v>
      </c>
      <c r="H14" s="56"/>
      <c r="I14" s="56">
        <f>(Forecast!G20-0.159)*1.03</f>
        <v>0.07313000000000001</v>
      </c>
      <c r="J14" s="56"/>
      <c r="K14" s="56">
        <f>(Forecast!I20-0.159)*1.03</f>
        <v>0.09373</v>
      </c>
      <c r="M14" s="72" t="s">
        <v>109</v>
      </c>
      <c r="Z14" s="63"/>
      <c r="AA14" s="18"/>
    </row>
    <row r="15" spans="1:26" ht="12.75" customHeight="1">
      <c r="A15" s="4" t="s">
        <v>4</v>
      </c>
      <c r="B15" s="3">
        <v>37653</v>
      </c>
      <c r="C15">
        <f t="shared" si="0"/>
        <v>0</v>
      </c>
      <c r="D15">
        <f t="shared" si="7"/>
        <v>0</v>
      </c>
      <c r="E15">
        <f aca="true" t="shared" si="8" ref="E15:E78">E3</f>
        <v>2</v>
      </c>
      <c r="F15" s="60" t="s">
        <v>69</v>
      </c>
      <c r="G15" s="61">
        <f>(Forecast!E21-0.14)*0.99</f>
        <v>0.6633</v>
      </c>
      <c r="H15" s="61"/>
      <c r="I15" s="61">
        <f>(Forecast!G21-0.14)*0.99</f>
        <v>0.6633</v>
      </c>
      <c r="J15" s="61"/>
      <c r="K15" s="61">
        <f>(Forecast!I21-0.14)*0.99</f>
        <v>0.6633</v>
      </c>
      <c r="M15" t="s">
        <v>110</v>
      </c>
      <c r="Z15" t="s">
        <v>70</v>
      </c>
    </row>
    <row r="16" spans="1:36" ht="12.75" customHeight="1">
      <c r="A16" s="4" t="s">
        <v>5</v>
      </c>
      <c r="B16" s="3">
        <v>37681</v>
      </c>
      <c r="C16">
        <f t="shared" si="0"/>
        <v>0</v>
      </c>
      <c r="D16">
        <f t="shared" si="7"/>
        <v>0</v>
      </c>
      <c r="E16">
        <f t="shared" si="8"/>
        <v>3</v>
      </c>
      <c r="F16" s="62" t="s">
        <v>75</v>
      </c>
      <c r="G16" s="61">
        <f>Forecast!E27-0.14</f>
        <v>0.67</v>
      </c>
      <c r="H16" s="61"/>
      <c r="I16" s="61">
        <f>Forecast!G27-0.14</f>
        <v>0.74</v>
      </c>
      <c r="K16" s="61">
        <f>Forecast!I27-0.14</f>
        <v>0.77</v>
      </c>
      <c r="N16" s="69" t="s">
        <v>97</v>
      </c>
      <c r="O16" s="69" t="s">
        <v>98</v>
      </c>
      <c r="P16" s="69" t="s">
        <v>99</v>
      </c>
      <c r="Q16" s="69" t="s">
        <v>100</v>
      </c>
      <c r="R16" s="69" t="s">
        <v>101</v>
      </c>
      <c r="S16" s="69" t="s">
        <v>102</v>
      </c>
      <c r="T16" s="69" t="s">
        <v>103</v>
      </c>
      <c r="U16" s="69" t="s">
        <v>104</v>
      </c>
      <c r="V16" s="69" t="s">
        <v>107</v>
      </c>
      <c r="W16" s="69" t="s">
        <v>105</v>
      </c>
      <c r="X16" s="69" t="s">
        <v>106</v>
      </c>
      <c r="Z16" s="83" t="s">
        <v>73</v>
      </c>
      <c r="AA16" s="61">
        <f>AA7*9</f>
        <v>6.03</v>
      </c>
      <c r="AB16" s="61">
        <f aca="true" t="shared" si="9" ref="AB16:AI16">AB7*9</f>
        <v>6.03</v>
      </c>
      <c r="AC16" s="61">
        <f t="shared" si="9"/>
        <v>6.03</v>
      </c>
      <c r="AD16" s="61">
        <f t="shared" si="9"/>
        <v>6.03</v>
      </c>
      <c r="AE16" s="61">
        <f t="shared" si="9"/>
        <v>6.03</v>
      </c>
      <c r="AF16" s="61">
        <f t="shared" si="9"/>
        <v>6.03</v>
      </c>
      <c r="AG16" s="61">
        <f t="shared" si="9"/>
        <v>6.03</v>
      </c>
      <c r="AH16" s="61">
        <f t="shared" si="9"/>
        <v>6.03</v>
      </c>
      <c r="AI16" s="61">
        <f t="shared" si="9"/>
        <v>6.03</v>
      </c>
      <c r="AJ16" s="61"/>
    </row>
    <row r="17" spans="1:36" ht="12.75" customHeight="1">
      <c r="A17" s="4" t="s">
        <v>6</v>
      </c>
      <c r="B17" s="3">
        <v>37712</v>
      </c>
      <c r="C17">
        <f t="shared" si="0"/>
        <v>0</v>
      </c>
      <c r="D17">
        <f t="shared" si="7"/>
        <v>0</v>
      </c>
      <c r="E17">
        <f t="shared" si="8"/>
        <v>4</v>
      </c>
      <c r="F17" s="62" t="s">
        <v>81</v>
      </c>
      <c r="G17" s="61">
        <f>(Forecast!E24-0.115)/0.82</f>
        <v>1.079268292682927</v>
      </c>
      <c r="H17" s="61"/>
      <c r="I17" s="61">
        <f>(Forecast!G24-0.115)/0.82</f>
        <v>1.176829268292683</v>
      </c>
      <c r="K17" s="61">
        <f>(Forecast!I24-0.115)/0.82</f>
        <v>1.5670731707317074</v>
      </c>
      <c r="M17" t="s">
        <v>127</v>
      </c>
      <c r="N17" s="70">
        <v>42</v>
      </c>
      <c r="O17" s="70">
        <v>76</v>
      </c>
      <c r="P17" s="70">
        <v>63</v>
      </c>
      <c r="Q17" s="70">
        <v>88</v>
      </c>
      <c r="R17" s="70">
        <v>52</v>
      </c>
      <c r="S17" s="70">
        <v>14</v>
      </c>
      <c r="T17" s="70">
        <v>37</v>
      </c>
      <c r="U17" s="70">
        <v>42</v>
      </c>
      <c r="V17" s="70">
        <v>29</v>
      </c>
      <c r="W17" s="70">
        <v>26</v>
      </c>
      <c r="X17" s="70">
        <v>30</v>
      </c>
      <c r="Z17" s="83" t="s">
        <v>74</v>
      </c>
      <c r="AA17" s="61">
        <f>AA16*0.965+3.5*AA4</f>
        <v>9.596389024390245</v>
      </c>
      <c r="AB17" s="61">
        <f aca="true" t="shared" si="10" ref="AB17:AI17">AB16*0.965+3.5*AB4</f>
        <v>11.303706097560976</v>
      </c>
      <c r="AC17" s="61">
        <f t="shared" si="10"/>
        <v>11.303706097560976</v>
      </c>
      <c r="AD17" s="61">
        <f t="shared" si="10"/>
        <v>11.303706097560976</v>
      </c>
      <c r="AE17" s="61">
        <f t="shared" si="10"/>
        <v>11.303706097560976</v>
      </c>
      <c r="AF17" s="61">
        <f t="shared" si="10"/>
        <v>11.303706097560976</v>
      </c>
      <c r="AG17" s="61">
        <f t="shared" si="10"/>
        <v>11.303706097560976</v>
      </c>
      <c r="AH17" s="61">
        <f t="shared" si="10"/>
        <v>11.303706097560976</v>
      </c>
      <c r="AI17" s="61">
        <f t="shared" si="10"/>
        <v>11.303706097560976</v>
      </c>
      <c r="AJ17" s="61"/>
    </row>
    <row r="18" spans="1:36" ht="12.75" customHeight="1">
      <c r="A18" s="4" t="s">
        <v>7</v>
      </c>
      <c r="B18" s="3">
        <v>37742</v>
      </c>
      <c r="C18">
        <f t="shared" si="0"/>
        <v>0</v>
      </c>
      <c r="D18">
        <f t="shared" si="7"/>
        <v>0</v>
      </c>
      <c r="E18">
        <f t="shared" si="8"/>
        <v>5</v>
      </c>
      <c r="F18" s="62" t="s">
        <v>85</v>
      </c>
      <c r="G18" s="61">
        <f>(Forecast!E25-0.165)*1.405+(((Forecast!E25-0.165)*1.582)-0.9*Data!G17)*1.17</f>
        <v>2.4383048235107276</v>
      </c>
      <c r="H18" s="61"/>
      <c r="I18" s="61">
        <f>(Forecast!G25-0.165)*1.405+(((Forecast!G25-0.165)*1.582)-0.9*Data!I17)*1.17</f>
        <v>2.0330184804878044</v>
      </c>
      <c r="K18" s="61">
        <f>(Forecast!I25-0.165)*1.405+(((Forecast!I25-0.165)*1.582)-0.9*Data!K17)*1.17</f>
        <v>2.305839051219512</v>
      </c>
      <c r="M18" t="s">
        <v>128</v>
      </c>
      <c r="N18" s="70">
        <v>41</v>
      </c>
      <c r="O18" s="70">
        <v>70</v>
      </c>
      <c r="P18" s="70">
        <v>63</v>
      </c>
      <c r="Q18" s="70">
        <v>91</v>
      </c>
      <c r="R18" s="70">
        <v>52</v>
      </c>
      <c r="S18" s="70">
        <v>15</v>
      </c>
      <c r="T18" s="70">
        <v>38</v>
      </c>
      <c r="U18" s="70">
        <v>41</v>
      </c>
      <c r="V18" s="70">
        <v>30</v>
      </c>
      <c r="W18" s="70">
        <v>28</v>
      </c>
      <c r="X18" s="70">
        <v>31</v>
      </c>
      <c r="Z18" s="83" t="s">
        <v>71</v>
      </c>
      <c r="AA18" s="61">
        <f>3.1*AA5+5.9*AA6</f>
        <v>8.09896066179894</v>
      </c>
      <c r="AB18" s="61">
        <f aca="true" t="shared" si="11" ref="AB18:AI18">3.1*AB5+5.9*AB6</f>
        <v>6.510504888994259</v>
      </c>
      <c r="AC18" s="61">
        <f t="shared" si="11"/>
        <v>6.386777583790475</v>
      </c>
      <c r="AD18" s="61">
        <f t="shared" si="11"/>
        <v>6.356911881311136</v>
      </c>
      <c r="AE18" s="61">
        <f t="shared" si="11"/>
        <v>6.356911881311136</v>
      </c>
      <c r="AF18" s="61">
        <f t="shared" si="11"/>
        <v>6.356911881311136</v>
      </c>
      <c r="AG18" s="61">
        <f t="shared" si="11"/>
        <v>6.356911881311136</v>
      </c>
      <c r="AH18" s="61">
        <f t="shared" si="11"/>
        <v>6.356911881311136</v>
      </c>
      <c r="AI18" s="61">
        <f t="shared" si="11"/>
        <v>6.356911881311136</v>
      </c>
      <c r="AJ18" s="61"/>
    </row>
    <row r="19" spans="1:36" ht="12.75" customHeight="1">
      <c r="A19" s="4" t="s">
        <v>8</v>
      </c>
      <c r="B19" s="3">
        <v>37773</v>
      </c>
      <c r="C19">
        <f t="shared" si="0"/>
        <v>0</v>
      </c>
      <c r="D19">
        <f t="shared" si="7"/>
        <v>0</v>
      </c>
      <c r="E19">
        <f t="shared" si="8"/>
        <v>6</v>
      </c>
      <c r="F19" s="62" t="s">
        <v>86</v>
      </c>
      <c r="G19" s="61">
        <f>(Forecast!E26-0.159)/0.968</f>
        <v>0.0784090909090909</v>
      </c>
      <c r="H19" s="61"/>
      <c r="I19" s="61">
        <f>(Forecast!G26-0.159)/0.968</f>
        <v>0.07334710743801653</v>
      </c>
      <c r="K19" s="61">
        <f>(Forecast!I26-0.159)/0.968</f>
        <v>0.09400826446280992</v>
      </c>
      <c r="M19" t="s">
        <v>129</v>
      </c>
      <c r="N19" s="70">
        <v>42</v>
      </c>
      <c r="O19" s="70">
        <v>64</v>
      </c>
      <c r="P19" s="70">
        <v>62</v>
      </c>
      <c r="Q19" s="70">
        <v>87</v>
      </c>
      <c r="R19" s="70">
        <v>50</v>
      </c>
      <c r="S19" s="70">
        <v>16</v>
      </c>
      <c r="T19" s="70">
        <v>32</v>
      </c>
      <c r="U19" s="70">
        <v>42</v>
      </c>
      <c r="V19" s="70">
        <v>30</v>
      </c>
      <c r="W19" s="70">
        <v>25</v>
      </c>
      <c r="X19" s="70">
        <v>31</v>
      </c>
      <c r="Z19" s="83" t="s">
        <v>72</v>
      </c>
      <c r="AA19" s="61">
        <f>AA18*0.965+3.5*AA4</f>
        <v>11.59293606302622</v>
      </c>
      <c r="AB19" s="61">
        <f aca="true" t="shared" si="12" ref="AB19:AI19">AB18*0.965+3.5*AB4</f>
        <v>11.767393315440437</v>
      </c>
      <c r="AC19" s="61">
        <f t="shared" si="12"/>
        <v>11.647996465918784</v>
      </c>
      <c r="AD19" s="61">
        <f t="shared" si="12"/>
        <v>11.619176063026224</v>
      </c>
      <c r="AE19" s="61">
        <f t="shared" si="12"/>
        <v>11.619176063026224</v>
      </c>
      <c r="AF19" s="61">
        <f t="shared" si="12"/>
        <v>11.619176063026224</v>
      </c>
      <c r="AG19" s="61">
        <f t="shared" si="12"/>
        <v>11.619176063026224</v>
      </c>
      <c r="AH19" s="61">
        <f t="shared" si="12"/>
        <v>11.619176063026224</v>
      </c>
      <c r="AI19" s="61">
        <f t="shared" si="12"/>
        <v>11.619176063026224</v>
      </c>
      <c r="AJ19" s="61"/>
    </row>
    <row r="20" spans="1:36" ht="12.75" customHeight="1">
      <c r="A20" s="4" t="s">
        <v>9</v>
      </c>
      <c r="B20" s="3">
        <v>37803</v>
      </c>
      <c r="C20">
        <f t="shared" si="0"/>
        <v>0</v>
      </c>
      <c r="D20">
        <f t="shared" si="7"/>
        <v>0</v>
      </c>
      <c r="E20">
        <f t="shared" si="8"/>
        <v>7</v>
      </c>
      <c r="F20" s="62" t="s">
        <v>87</v>
      </c>
      <c r="G20" s="61">
        <f>3.1*G18+5.9*G19</f>
        <v>8.021358589246892</v>
      </c>
      <c r="H20" s="61"/>
      <c r="I20" s="61">
        <f>3.1*I18+5.9*I19</f>
        <v>6.735105223396491</v>
      </c>
      <c r="K20" s="61">
        <f>3.1*K18+5.9*K19</f>
        <v>7.702749819111066</v>
      </c>
      <c r="M20" t="s">
        <v>130</v>
      </c>
      <c r="N20" s="70">
        <v>39</v>
      </c>
      <c r="O20" s="70">
        <v>60</v>
      </c>
      <c r="P20" s="70">
        <v>57</v>
      </c>
      <c r="Q20" s="70">
        <v>82</v>
      </c>
      <c r="R20" s="70">
        <v>47</v>
      </c>
      <c r="S20" s="70">
        <v>16</v>
      </c>
      <c r="T20" s="70">
        <v>28</v>
      </c>
      <c r="U20" s="70">
        <v>42</v>
      </c>
      <c r="V20" s="70">
        <v>27</v>
      </c>
      <c r="W20" s="70">
        <v>19</v>
      </c>
      <c r="X20" s="70">
        <v>28</v>
      </c>
      <c r="Z20" s="86" t="s">
        <v>77</v>
      </c>
      <c r="AA20" s="61">
        <f>AA13+0.7</f>
        <v>7.36</v>
      </c>
      <c r="AB20" s="61">
        <f aca="true" t="shared" si="13" ref="AB20:AI20">AB13+0.7</f>
        <v>7.36</v>
      </c>
      <c r="AC20" s="61">
        <f t="shared" si="13"/>
        <v>7.36</v>
      </c>
      <c r="AD20" s="61">
        <f t="shared" si="13"/>
        <v>7.36</v>
      </c>
      <c r="AE20" s="61">
        <f t="shared" si="13"/>
        <v>7.36</v>
      </c>
      <c r="AF20" s="61">
        <f t="shared" si="13"/>
        <v>7.36</v>
      </c>
      <c r="AG20" s="61">
        <f t="shared" si="13"/>
        <v>7.36</v>
      </c>
      <c r="AH20" s="61">
        <f t="shared" si="13"/>
        <v>6.73</v>
      </c>
      <c r="AI20" s="61">
        <f t="shared" si="13"/>
        <v>7.36</v>
      </c>
      <c r="AJ20" s="61"/>
    </row>
    <row r="21" spans="1:36" ht="12.75" customHeight="1">
      <c r="A21" s="4" t="s">
        <v>10</v>
      </c>
      <c r="B21" s="3">
        <v>37834</v>
      </c>
      <c r="C21">
        <f t="shared" si="0"/>
        <v>0</v>
      </c>
      <c r="D21">
        <f t="shared" si="7"/>
        <v>0</v>
      </c>
      <c r="E21">
        <f t="shared" si="8"/>
        <v>8</v>
      </c>
      <c r="F21" s="64" t="s">
        <v>88</v>
      </c>
      <c r="G21" s="17">
        <f>9*G16</f>
        <v>6.03</v>
      </c>
      <c r="H21" s="17"/>
      <c r="I21" s="17">
        <f>9*I16</f>
        <v>6.66</v>
      </c>
      <c r="J21" s="56"/>
      <c r="K21" s="17">
        <f>9*K16</f>
        <v>6.93</v>
      </c>
      <c r="M21" t="s">
        <v>131</v>
      </c>
      <c r="N21" s="70">
        <v>41</v>
      </c>
      <c r="O21" s="70">
        <v>62</v>
      </c>
      <c r="P21" s="70">
        <v>61</v>
      </c>
      <c r="Q21" s="70">
        <v>84</v>
      </c>
      <c r="R21" s="70">
        <v>49</v>
      </c>
      <c r="S21" s="70">
        <v>17</v>
      </c>
      <c r="T21" s="70">
        <v>27</v>
      </c>
      <c r="U21" s="70">
        <v>44</v>
      </c>
      <c r="V21" s="70">
        <v>28</v>
      </c>
      <c r="W21" s="70">
        <v>23</v>
      </c>
      <c r="X21" s="70">
        <v>36</v>
      </c>
      <c r="Z21" s="86" t="s">
        <v>79</v>
      </c>
      <c r="AA21" s="61">
        <f>AA20/9</f>
        <v>0.8177777777777778</v>
      </c>
      <c r="AB21" s="61">
        <f aca="true" t="shared" si="14" ref="AB21:AI21">AB20/9</f>
        <v>0.8177777777777778</v>
      </c>
      <c r="AC21" s="61">
        <f t="shared" si="14"/>
        <v>0.8177777777777778</v>
      </c>
      <c r="AD21" s="61">
        <f t="shared" si="14"/>
        <v>0.8177777777777778</v>
      </c>
      <c r="AE21" s="61">
        <f t="shared" si="14"/>
        <v>0.8177777777777778</v>
      </c>
      <c r="AF21" s="61">
        <f t="shared" si="14"/>
        <v>0.8177777777777778</v>
      </c>
      <c r="AG21" s="61">
        <f t="shared" si="14"/>
        <v>0.8177777777777778</v>
      </c>
      <c r="AH21" s="61">
        <f t="shared" si="14"/>
        <v>0.7477777777777779</v>
      </c>
      <c r="AI21" s="61">
        <f t="shared" si="14"/>
        <v>0.8177777777777778</v>
      </c>
      <c r="AJ21" s="61"/>
    </row>
    <row r="22" spans="1:36" ht="12.75" customHeight="1">
      <c r="A22" s="4" t="s">
        <v>11</v>
      </c>
      <c r="B22" s="3">
        <v>37865</v>
      </c>
      <c r="C22">
        <f t="shared" si="0"/>
        <v>0</v>
      </c>
      <c r="D22">
        <f t="shared" si="7"/>
        <v>0</v>
      </c>
      <c r="E22">
        <f t="shared" si="8"/>
        <v>9</v>
      </c>
      <c r="F22" s="63"/>
      <c r="G22" s="18"/>
      <c r="H22" s="18"/>
      <c r="I22" s="18"/>
      <c r="M22" t="s">
        <v>132</v>
      </c>
      <c r="N22" s="70">
        <v>42</v>
      </c>
      <c r="O22" s="70">
        <v>62</v>
      </c>
      <c r="P22" s="70">
        <v>64</v>
      </c>
      <c r="Q22" s="70">
        <v>89</v>
      </c>
      <c r="R22" s="70">
        <v>47</v>
      </c>
      <c r="S22" s="70">
        <v>17</v>
      </c>
      <c r="T22" s="70">
        <v>28</v>
      </c>
      <c r="U22" s="70">
        <v>49</v>
      </c>
      <c r="V22" s="70">
        <v>30</v>
      </c>
      <c r="W22" s="70">
        <v>22</v>
      </c>
      <c r="X22" s="70">
        <v>35</v>
      </c>
      <c r="Z22" s="86" t="s">
        <v>80</v>
      </c>
      <c r="AA22" s="61">
        <f>AA4+0.007</f>
        <v>1.0862682926829268</v>
      </c>
      <c r="AB22" s="61">
        <f aca="true" t="shared" si="15" ref="AB22:AI22">AB4+0.007</f>
        <v>1.5740731707317073</v>
      </c>
      <c r="AC22" s="61">
        <f t="shared" si="15"/>
        <v>1.5740731707317073</v>
      </c>
      <c r="AD22" s="61">
        <f t="shared" si="15"/>
        <v>1.5740731707317073</v>
      </c>
      <c r="AE22" s="61">
        <f t="shared" si="15"/>
        <v>1.5740731707317073</v>
      </c>
      <c r="AF22" s="61">
        <f t="shared" si="15"/>
        <v>1.5740731707317073</v>
      </c>
      <c r="AG22" s="61">
        <f t="shared" si="15"/>
        <v>1.5740731707317073</v>
      </c>
      <c r="AH22" s="61">
        <f t="shared" si="15"/>
        <v>1.5740731707317073</v>
      </c>
      <c r="AI22" s="61">
        <f t="shared" si="15"/>
        <v>1.5740731707317073</v>
      </c>
      <c r="AJ22" s="61"/>
    </row>
    <row r="23" spans="1:36" ht="12.75" customHeight="1">
      <c r="A23" s="4" t="s">
        <v>12</v>
      </c>
      <c r="B23" s="3">
        <v>37895</v>
      </c>
      <c r="C23">
        <f t="shared" si="0"/>
        <v>0</v>
      </c>
      <c r="D23">
        <f t="shared" si="7"/>
        <v>0</v>
      </c>
      <c r="E23">
        <f t="shared" si="8"/>
        <v>10</v>
      </c>
      <c r="F23" t="s">
        <v>70</v>
      </c>
      <c r="M23" t="s">
        <v>133</v>
      </c>
      <c r="N23" s="70">
        <v>40</v>
      </c>
      <c r="O23" s="70">
        <v>69</v>
      </c>
      <c r="P23" s="70">
        <v>66</v>
      </c>
      <c r="Q23" s="70">
        <v>88</v>
      </c>
      <c r="R23" s="70">
        <v>42</v>
      </c>
      <c r="S23" s="70">
        <v>16</v>
      </c>
      <c r="T23" s="70">
        <v>27</v>
      </c>
      <c r="U23" s="70">
        <v>42</v>
      </c>
      <c r="V23" s="70">
        <v>29</v>
      </c>
      <c r="W23" s="70">
        <v>20</v>
      </c>
      <c r="X23" s="70">
        <v>26</v>
      </c>
      <c r="Z23" s="86" t="s">
        <v>78</v>
      </c>
      <c r="AA23" s="61">
        <f>AA20*0.965+3.5*AA22</f>
        <v>10.904339024390243</v>
      </c>
      <c r="AB23" s="61">
        <f aca="true" t="shared" si="16" ref="AB23:AI23">AB20*0.965+3.5*AB22</f>
        <v>12.611656097560974</v>
      </c>
      <c r="AC23" s="61">
        <f t="shared" si="16"/>
        <v>12.611656097560974</v>
      </c>
      <c r="AD23" s="61">
        <f t="shared" si="16"/>
        <v>12.611656097560974</v>
      </c>
      <c r="AE23" s="61">
        <f t="shared" si="16"/>
        <v>12.611656097560974</v>
      </c>
      <c r="AF23" s="61">
        <f t="shared" si="16"/>
        <v>12.611656097560974</v>
      </c>
      <c r="AG23" s="61">
        <f t="shared" si="16"/>
        <v>12.611656097560974</v>
      </c>
      <c r="AH23" s="61">
        <f t="shared" si="16"/>
        <v>12.003706097560976</v>
      </c>
      <c r="AI23" s="61">
        <f t="shared" si="16"/>
        <v>12.611656097560974</v>
      </c>
      <c r="AJ23" s="61"/>
    </row>
    <row r="24" spans="1:36" ht="12.75" customHeight="1">
      <c r="A24" s="4" t="s">
        <v>13</v>
      </c>
      <c r="B24" s="3">
        <v>37926</v>
      </c>
      <c r="C24">
        <f t="shared" si="0"/>
        <v>0</v>
      </c>
      <c r="D24">
        <f t="shared" si="7"/>
        <v>0</v>
      </c>
      <c r="E24">
        <f t="shared" si="8"/>
        <v>11</v>
      </c>
      <c r="F24" s="60" t="s">
        <v>73</v>
      </c>
      <c r="G24" s="61">
        <f>G15*9</f>
        <v>5.9697</v>
      </c>
      <c r="I24" s="61">
        <f>I15*9</f>
        <v>5.9697</v>
      </c>
      <c r="K24" s="61">
        <f>K15*9</f>
        <v>5.9697</v>
      </c>
      <c r="M24" t="s">
        <v>134</v>
      </c>
      <c r="N24" s="70">
        <v>45.2</v>
      </c>
      <c r="O24" s="70">
        <v>75</v>
      </c>
      <c r="P24" s="70">
        <v>73</v>
      </c>
      <c r="Q24" s="70">
        <v>92</v>
      </c>
      <c r="R24" s="70">
        <v>49</v>
      </c>
      <c r="S24" s="70">
        <v>19</v>
      </c>
      <c r="T24" s="70">
        <v>30</v>
      </c>
      <c r="U24" s="70">
        <v>48</v>
      </c>
      <c r="V24" s="70">
        <v>36</v>
      </c>
      <c r="W24" s="70">
        <v>28</v>
      </c>
      <c r="X24" s="70">
        <v>28</v>
      </c>
      <c r="Z24" s="88" t="s">
        <v>90</v>
      </c>
      <c r="AA24" s="61">
        <f>MAX(AA12:AA13)+Forecast!$G29</f>
        <v>8.385105223396492</v>
      </c>
      <c r="AB24" s="61">
        <f>MAX(AB12:AB13)+Forecast!$G29</f>
        <v>8.385105223396492</v>
      </c>
      <c r="AC24" s="61">
        <f>MAX(AC12:AC13)+Forecast!$G29</f>
        <v>8.385105223396492</v>
      </c>
      <c r="AD24" s="61">
        <f>MAX(AD12:AD13)+Forecast!$G29</f>
        <v>8.385105223396492</v>
      </c>
      <c r="AE24" s="61">
        <f>MAX(AE12:AE13)+Forecast!$G29</f>
        <v>8.70357351607942</v>
      </c>
      <c r="AF24" s="61">
        <f>MAX(AF12:AF13)+Forecast!$G29</f>
        <v>9.323024594084629</v>
      </c>
      <c r="AG24" s="61">
        <f>MAX(AG12:AG13)+Forecast!$G29</f>
        <v>8.385105223396492</v>
      </c>
      <c r="AH24" s="61">
        <f>MAX(AH12:AH13)+Forecast!$G29</f>
        <v>8.41497092587583</v>
      </c>
      <c r="AI24" s="61">
        <f>MAX(AI12:AI13)+Forecast!$E29</f>
        <v>8.385105223396492</v>
      </c>
      <c r="AJ24" s="61"/>
    </row>
    <row r="25" spans="1:36" ht="12.75" customHeight="1">
      <c r="A25" s="4" t="s">
        <v>14</v>
      </c>
      <c r="B25" s="3">
        <v>37956</v>
      </c>
      <c r="C25">
        <f t="shared" si="0"/>
        <v>0</v>
      </c>
      <c r="D25">
        <f t="shared" si="7"/>
        <v>0</v>
      </c>
      <c r="E25">
        <f t="shared" si="8"/>
        <v>12</v>
      </c>
      <c r="F25" s="60" t="s">
        <v>74</v>
      </c>
      <c r="G25" s="61">
        <f>G24*0.965+3.5*G12</f>
        <v>9.477760499999999</v>
      </c>
      <c r="I25" s="61">
        <f>I24*0.965+3.5*I12</f>
        <v>11.157760499999998</v>
      </c>
      <c r="K25" s="61">
        <f>K24*0.965+3.5*K12</f>
        <v>12.837760499999998</v>
      </c>
      <c r="M25" t="s">
        <v>135</v>
      </c>
      <c r="N25" s="70">
        <v>49.3</v>
      </c>
      <c r="O25" s="70">
        <v>76</v>
      </c>
      <c r="P25" s="70">
        <v>72</v>
      </c>
      <c r="Q25" s="70">
        <v>91</v>
      </c>
      <c r="R25" s="70">
        <v>46</v>
      </c>
      <c r="S25" s="70">
        <v>20</v>
      </c>
      <c r="T25" s="70">
        <v>31</v>
      </c>
      <c r="U25" s="70">
        <v>49</v>
      </c>
      <c r="V25" s="70">
        <v>35</v>
      </c>
      <c r="W25" s="70">
        <v>29</v>
      </c>
      <c r="X25" s="70">
        <v>30</v>
      </c>
      <c r="Z25" s="88" t="s">
        <v>91</v>
      </c>
      <c r="AA25" s="61">
        <f>AA9+(Forecast!$G29/100)</f>
        <v>1.193329268292683</v>
      </c>
      <c r="AB25" s="61">
        <f>AB9+(Forecast!$G29/100)</f>
        <v>1.193329268292683</v>
      </c>
      <c r="AC25" s="61">
        <f>AC9+(Forecast!$G29/100)</f>
        <v>1.193329268292683</v>
      </c>
      <c r="AD25" s="61">
        <f>AD9+(Forecast!$G29/100)</f>
        <v>1.193329268292683</v>
      </c>
      <c r="AE25" s="61">
        <f>AE9+(Forecast!$G29/100)</f>
        <v>1.0957682926829269</v>
      </c>
      <c r="AF25" s="61">
        <f>AF9+(Forecast!$G29/100)</f>
        <v>1.193329268292683</v>
      </c>
      <c r="AG25" s="61">
        <f>AG9+(Forecast!$G29/100)</f>
        <v>1.193329268292683</v>
      </c>
      <c r="AH25" s="61">
        <f>AH9+(Forecast!$G29/100)</f>
        <v>1.193329268292683</v>
      </c>
      <c r="AI25" s="61">
        <f>AI9+(Forecast!$E29/100)</f>
        <v>1.193329268292683</v>
      </c>
      <c r="AJ25" s="61"/>
    </row>
    <row r="26" spans="1:36" ht="12.75" customHeight="1">
      <c r="A26" s="4" t="s">
        <v>15</v>
      </c>
      <c r="B26" s="3">
        <v>37987</v>
      </c>
      <c r="C26">
        <f t="shared" si="0"/>
        <v>0</v>
      </c>
      <c r="D26">
        <f t="shared" si="7"/>
        <v>0</v>
      </c>
      <c r="E26">
        <f t="shared" si="8"/>
        <v>1</v>
      </c>
      <c r="F26" s="60" t="s">
        <v>71</v>
      </c>
      <c r="G26" s="61">
        <f>3.1*G13+5.9*G14</f>
        <v>7.961658031088083</v>
      </c>
      <c r="I26" s="61">
        <f>3.1*I13+5.9*I14</f>
        <v>6.220725388601041</v>
      </c>
      <c r="K26" s="61">
        <f>3.1*K13+5.9*K14</f>
        <v>4.479792746113992</v>
      </c>
      <c r="M26" t="s">
        <v>136</v>
      </c>
      <c r="N26" s="70">
        <v>48.5</v>
      </c>
      <c r="O26" s="70">
        <v>73</v>
      </c>
      <c r="P26" s="70">
        <v>66</v>
      </c>
      <c r="Q26" s="70">
        <v>90</v>
      </c>
      <c r="R26" s="70">
        <v>43</v>
      </c>
      <c r="S26" s="70">
        <v>21</v>
      </c>
      <c r="T26" s="70">
        <v>30</v>
      </c>
      <c r="U26" s="70">
        <v>48</v>
      </c>
      <c r="V26" s="70">
        <v>37</v>
      </c>
      <c r="W26" s="70">
        <v>30</v>
      </c>
      <c r="X26" s="70">
        <v>30</v>
      </c>
      <c r="Z26" s="86" t="s">
        <v>92</v>
      </c>
      <c r="AA26" s="61">
        <f>0.965*AA24+3.5*AA25</f>
        <v>12.268278979602005</v>
      </c>
      <c r="AB26" s="61">
        <f aca="true" t="shared" si="17" ref="AB26:AI26">0.965*AB24+3.5*AB25</f>
        <v>12.268278979602005</v>
      </c>
      <c r="AC26" s="61">
        <f t="shared" si="17"/>
        <v>12.268278979602005</v>
      </c>
      <c r="AD26" s="61">
        <f t="shared" si="17"/>
        <v>12.268278979602005</v>
      </c>
      <c r="AE26" s="61">
        <f t="shared" si="17"/>
        <v>12.234137467406883</v>
      </c>
      <c r="AF26" s="61">
        <f t="shared" si="17"/>
        <v>13.173371172316058</v>
      </c>
      <c r="AG26" s="61">
        <f t="shared" si="17"/>
        <v>12.268278979602005</v>
      </c>
      <c r="AH26" s="61">
        <f t="shared" si="17"/>
        <v>12.297099382494567</v>
      </c>
      <c r="AI26" s="61">
        <f t="shared" si="17"/>
        <v>12.268278979602005</v>
      </c>
      <c r="AJ26" s="61"/>
    </row>
    <row r="27" spans="1:36" ht="12.75" customHeight="1">
      <c r="A27" s="4" t="s">
        <v>16</v>
      </c>
      <c r="B27" s="3">
        <v>38018</v>
      </c>
      <c r="C27">
        <f t="shared" si="0"/>
        <v>0</v>
      </c>
      <c r="D27">
        <f t="shared" si="7"/>
        <v>0</v>
      </c>
      <c r="E27">
        <f t="shared" si="8"/>
        <v>2</v>
      </c>
      <c r="F27" s="60" t="s">
        <v>72</v>
      </c>
      <c r="G27" s="61">
        <f>G26*0.965+3.5*G12</f>
        <v>11.4</v>
      </c>
      <c r="I27" s="61">
        <f>I26*0.965+3.5*I12</f>
        <v>11.400000000000004</v>
      </c>
      <c r="K27" s="61">
        <f>K26*0.965+3.5*K12</f>
        <v>11.400000000000002</v>
      </c>
      <c r="M27" t="s">
        <v>137</v>
      </c>
      <c r="N27" s="70">
        <v>49.2</v>
      </c>
      <c r="O27" s="70">
        <v>75</v>
      </c>
      <c r="P27" s="70">
        <v>69</v>
      </c>
      <c r="Q27" s="70">
        <v>90</v>
      </c>
      <c r="R27" s="70">
        <v>46</v>
      </c>
      <c r="S27" s="70">
        <v>22</v>
      </c>
      <c r="T27" s="70">
        <v>30</v>
      </c>
      <c r="U27" s="70">
        <v>53</v>
      </c>
      <c r="V27" s="70">
        <v>37</v>
      </c>
      <c r="W27" s="70">
        <v>29</v>
      </c>
      <c r="X27" s="70">
        <v>35</v>
      </c>
      <c r="Z27" s="6"/>
      <c r="AA27" s="61"/>
      <c r="AB27" s="61"/>
      <c r="AC27" s="61"/>
      <c r="AD27" s="61"/>
      <c r="AE27" s="61"/>
      <c r="AF27" s="61"/>
      <c r="AG27" s="61"/>
      <c r="AH27" s="61"/>
      <c r="AI27" s="61"/>
      <c r="AJ27" s="61"/>
    </row>
    <row r="28" spans="1:36" ht="12.75" customHeight="1">
      <c r="A28" s="9" t="s">
        <v>170</v>
      </c>
      <c r="B28" s="3">
        <f>DATE(YEAR(B16)+1,E28,1)</f>
        <v>38047</v>
      </c>
      <c r="C28">
        <f aca="true" t="shared" si="18" ref="C28:C91">IF(D28&gt;0,E28,0)</f>
        <v>0</v>
      </c>
      <c r="D28">
        <f aca="true" t="shared" si="19" ref="D28:D91">IF(A28=B$1,A29-A28,0)</f>
        <v>0</v>
      </c>
      <c r="E28">
        <f t="shared" si="8"/>
        <v>3</v>
      </c>
      <c r="F28" s="6" t="s">
        <v>77</v>
      </c>
      <c r="G28" s="61">
        <f>G21+0.7</f>
        <v>6.73</v>
      </c>
      <c r="I28" s="61">
        <f>I21+0.7</f>
        <v>7.36</v>
      </c>
      <c r="K28" s="61">
        <f>K21+0.7</f>
        <v>7.63</v>
      </c>
      <c r="M28" t="s">
        <v>138</v>
      </c>
      <c r="N28" s="70">
        <v>47.9</v>
      </c>
      <c r="O28" s="70">
        <v>66</v>
      </c>
      <c r="P28" s="70">
        <v>66</v>
      </c>
      <c r="Q28" s="70">
        <v>86</v>
      </c>
      <c r="R28" s="70">
        <v>46</v>
      </c>
      <c r="S28" s="70">
        <v>20</v>
      </c>
      <c r="T28" s="70">
        <v>30</v>
      </c>
      <c r="U28" s="70">
        <v>50</v>
      </c>
      <c r="V28" s="70">
        <v>32</v>
      </c>
      <c r="W28" s="70">
        <v>27</v>
      </c>
      <c r="X28" s="70">
        <v>33</v>
      </c>
      <c r="Z28" s="6" t="s">
        <v>156</v>
      </c>
      <c r="AA28" s="61">
        <f>Forecast!$G6*Forecast!$G7*Data!$D1*(Forecast!$G11*AA4+AA5*Forecast!$G12+Forecast!$G13*AA6+((350000-Forecast!$G15)*0.00000006)+AA29/100)</f>
        <v>25674.300058507793</v>
      </c>
      <c r="AB28" s="61">
        <f>Forecast!$G6*Forecast!$G7*Data!$D1*(Forecast!$G11*AB4+AB5*Forecast!$G12+Forecast!$G13*AB6+((350000-Forecast!$G15)*0.00000006)+AB29/100)</f>
        <v>26365.2446611355</v>
      </c>
      <c r="AC28" s="61">
        <f>Forecast!$G6*Forecast!$G7*Data!$D1*(Forecast!$G11*AC4+AC5*Forecast!$G12+Forecast!$G13*AC6+((350000-Forecast!$G15)*0.00000006)+AC29/100)</f>
        <v>26158.78950177507</v>
      </c>
      <c r="AD28" s="61">
        <f>Forecast!$G6*Forecast!$G7*Data!$D1*(Forecast!$G11*AD4+AD5*Forecast!$G12+Forecast!$G13*AD6+((350000-Forecast!$G15)*0.00000006)+AD29/100)</f>
        <v>26105.01408933706</v>
      </c>
      <c r="AE28" s="61">
        <f>Forecast!$G6*Forecast!$G7*Data!$D1*(Forecast!$G11*AE4+AE5*Forecast!$G12+Forecast!$G13*AE6+((350000-Forecast!$G15)*0.00000006)+AE29/100)</f>
        <v>26094.689696049256</v>
      </c>
      <c r="AF28" s="61">
        <f>Forecast!$G6*Forecast!$G7*Data!$D1*(Forecast!$G11*AF4+AF5*Forecast!$G12+Forecast!$G13*AF6+((350000-Forecast!$G15)*0.00000006)+AF29/100)</f>
        <v>26378.713968413787</v>
      </c>
      <c r="AG28" s="61">
        <f>Forecast!$G6*Forecast!$G7*Data!$D1*(Forecast!$G11*AG4+AG5*Forecast!$G12+Forecast!$G13*AG6+((350000-Forecast!$G15)*0.00000006)+AG29/100)</f>
        <v>26105.01408933706</v>
      </c>
      <c r="AH28" s="61">
        <f>Forecast!$G6*Forecast!$G7*Data!$D1*(Forecast!$G11*AH4+AH5*Forecast!$G12+Forecast!$G13*AH6+((350000-Forecast!$G15)*0.00000006)+AH29/100)</f>
        <v>26074.33421917177</v>
      </c>
      <c r="AI28" s="61">
        <f>Forecast!$G6*Forecast!$G7*Data!$D1*(Forecast!$G11*AI4+AI5*Forecast!$G12+Forecast!$G13*AI6+((350000-Forecast!$G15)*0.00000006)+AI29/100)</f>
        <v>26105.01408933706</v>
      </c>
      <c r="AJ28" s="61"/>
    </row>
    <row r="29" spans="1:35" ht="12.75" customHeight="1">
      <c r="A29" s="9" t="s">
        <v>171</v>
      </c>
      <c r="B29" s="3">
        <f aca="true" t="shared" si="20" ref="B29:B91">DATE(YEAR(B17)+1,E29,1)</f>
        <v>38078</v>
      </c>
      <c r="C29">
        <f t="shared" si="18"/>
        <v>0</v>
      </c>
      <c r="D29">
        <f t="shared" si="19"/>
        <v>0</v>
      </c>
      <c r="E29">
        <f t="shared" si="8"/>
        <v>4</v>
      </c>
      <c r="F29" s="6" t="s">
        <v>79</v>
      </c>
      <c r="G29" s="61">
        <f>G28/9</f>
        <v>0.7477777777777779</v>
      </c>
      <c r="I29" s="61">
        <f>I28/9</f>
        <v>0.8177777777777778</v>
      </c>
      <c r="K29" s="61">
        <f>K28/9</f>
        <v>0.8477777777777777</v>
      </c>
      <c r="N29" s="70"/>
      <c r="O29" s="70"/>
      <c r="P29" s="70"/>
      <c r="Q29" s="70"/>
      <c r="R29" s="70"/>
      <c r="S29" s="111">
        <f>AVERAGE(S17:S28)</f>
        <v>17.75</v>
      </c>
      <c r="T29" s="70"/>
      <c r="U29" s="70"/>
      <c r="V29" s="70"/>
      <c r="W29" s="70"/>
      <c r="X29" s="70"/>
      <c r="AA29">
        <f>((AA26*Forecast!$G32+Forecast!$G33*Data!AA23+Data!AA19*Forecast!$G34+Forecast!$G35*Data!AA17)-AA19)</f>
        <v>0.03395915638881064</v>
      </c>
      <c r="AB29">
        <f>((AB26*Forecast!$G32+Forecast!$G33*Data!AB23+Data!AB19*Forecast!$G34+Forecast!$G35*Data!AB17)-AB19)</f>
        <v>0.08617813208864433</v>
      </c>
      <c r="AC29">
        <f>((AC26*Forecast!$G32+Forecast!$G33*Data!AC23+Data!AC19*Forecast!$G34+Forecast!$G35*Data!AC17)-AC19)</f>
        <v>0.10886353349775924</v>
      </c>
      <c r="AD29">
        <f>((AD26*Forecast!$G32+Forecast!$G33*Data!AD23+Data!AD19*Forecast!$G34+Forecast!$G35*Data!AD17)-AD19)</f>
        <v>0.11433941004734649</v>
      </c>
      <c r="AE29">
        <f>((AE26*Forecast!$G32+Forecast!$G33*Data!AE23+Data!AE19*Forecast!$G34+Forecast!$G35*Data!AE17)-AE19)</f>
        <v>0.10955959834003082</v>
      </c>
      <c r="AF29">
        <f>((AF26*Forecast!$G32+Forecast!$G33*Data!AF23+Data!AF19*Forecast!$G34+Forecast!$G35*Data!AF17)-AF19)</f>
        <v>0.24105231702731444</v>
      </c>
      <c r="AG29">
        <f>((AG26*Forecast!$G32+Forecast!$G33*Data!AG23+Data!AG19*Forecast!$G34+Forecast!$G35*Data!AG17)-AG19)</f>
        <v>0.11433941004734649</v>
      </c>
      <c r="AH29">
        <f>((AH26*Forecast!$G32+Forecast!$G33*Data!AH23+Data!AH19*Forecast!$G34+Forecast!$G35*Data!AH17)-AH19)</f>
        <v>0.10013576645230593</v>
      </c>
      <c r="AI29">
        <f>((AI26*Forecast!$G32+Forecast!$G33*Data!AI23+Data!AI19*Forecast!$G34+Forecast!$G35*Data!AI17)-AI19)</f>
        <v>0.11433941004734649</v>
      </c>
    </row>
    <row r="30" spans="1:26" ht="12.75" customHeight="1">
      <c r="A30" s="9" t="s">
        <v>172</v>
      </c>
      <c r="B30" s="3">
        <f t="shared" si="20"/>
        <v>38108</v>
      </c>
      <c r="C30">
        <f t="shared" si="18"/>
        <v>0</v>
      </c>
      <c r="D30">
        <f t="shared" si="19"/>
        <v>0</v>
      </c>
      <c r="E30">
        <f t="shared" si="8"/>
        <v>5</v>
      </c>
      <c r="F30" s="6" t="s">
        <v>80</v>
      </c>
      <c r="G30" s="61">
        <f>G12+0.007</f>
        <v>1.069</v>
      </c>
      <c r="I30" s="61">
        <f>I12+0.007</f>
        <v>1.5489999999999997</v>
      </c>
      <c r="K30" s="61">
        <f>K12+0.007</f>
        <v>2.029</v>
      </c>
      <c r="M30" t="s">
        <v>123</v>
      </c>
      <c r="Z30" s="6" t="s">
        <v>154</v>
      </c>
    </row>
    <row r="31" spans="1:35" ht="12.75" customHeight="1">
      <c r="A31" s="9" t="s">
        <v>173</v>
      </c>
      <c r="B31" s="3">
        <f t="shared" si="20"/>
        <v>38139</v>
      </c>
      <c r="C31">
        <f t="shared" si="18"/>
        <v>0</v>
      </c>
      <c r="D31">
        <f t="shared" si="19"/>
        <v>0</v>
      </c>
      <c r="E31">
        <f t="shared" si="8"/>
        <v>6</v>
      </c>
      <c r="F31" s="6" t="s">
        <v>78</v>
      </c>
      <c r="G31" s="61">
        <f>G28*0.965+3.5*G30</f>
        <v>10.23595</v>
      </c>
      <c r="I31" s="61">
        <f>I28*0.965+3.5*I30</f>
        <v>12.5239</v>
      </c>
      <c r="K31" s="61">
        <f>K28*0.965+3.5*K30</f>
        <v>14.46445</v>
      </c>
      <c r="N31" s="69" t="s">
        <v>97</v>
      </c>
      <c r="O31" s="69" t="s">
        <v>98</v>
      </c>
      <c r="P31" s="69" t="s">
        <v>99</v>
      </c>
      <c r="Q31" s="69" t="s">
        <v>100</v>
      </c>
      <c r="R31" s="69" t="s">
        <v>101</v>
      </c>
      <c r="S31" s="69" t="s">
        <v>102</v>
      </c>
      <c r="T31" s="69" t="s">
        <v>103</v>
      </c>
      <c r="U31" s="69" t="s">
        <v>104</v>
      </c>
      <c r="V31" s="69" t="s">
        <v>107</v>
      </c>
      <c r="W31" s="69" t="s">
        <v>105</v>
      </c>
      <c r="X31" s="69" t="s">
        <v>106</v>
      </c>
      <c r="AA31" t="s">
        <v>56</v>
      </c>
      <c r="AB31" t="s">
        <v>57</v>
      </c>
      <c r="AC31" t="s">
        <v>58</v>
      </c>
      <c r="AD31" t="s">
        <v>59</v>
      </c>
      <c r="AE31" t="s">
        <v>82</v>
      </c>
      <c r="AF31" t="s">
        <v>83</v>
      </c>
      <c r="AG31" t="s">
        <v>84</v>
      </c>
      <c r="AH31" t="s">
        <v>76</v>
      </c>
      <c r="AI31" s="76" t="s">
        <v>93</v>
      </c>
    </row>
    <row r="32" spans="1:26" ht="12.75" customHeight="1">
      <c r="A32" s="9" t="s">
        <v>174</v>
      </c>
      <c r="B32" s="3">
        <f t="shared" si="20"/>
        <v>38169</v>
      </c>
      <c r="C32">
        <f t="shared" si="18"/>
        <v>0</v>
      </c>
      <c r="D32">
        <f t="shared" si="19"/>
        <v>0</v>
      </c>
      <c r="E32">
        <f t="shared" si="8"/>
        <v>7</v>
      </c>
      <c r="F32" s="6" t="s">
        <v>90</v>
      </c>
      <c r="G32" s="61">
        <f>MAX(G20:G21)+Forecast!E29</f>
        <v>9.671358589246893</v>
      </c>
      <c r="I32" s="61">
        <f>MAX(I20:I21)+Forecast!G29</f>
        <v>8.385105223396492</v>
      </c>
      <c r="K32" s="61">
        <f>MAX(K20:K21)+Forecast!I29</f>
        <v>9.352749819111066</v>
      </c>
      <c r="M32" t="s">
        <v>111</v>
      </c>
      <c r="N32" s="70">
        <v>15</v>
      </c>
      <c r="O32" s="70">
        <v>10</v>
      </c>
      <c r="P32" s="70">
        <v>8</v>
      </c>
      <c r="Q32" s="70">
        <v>6</v>
      </c>
      <c r="R32" s="70">
        <v>15</v>
      </c>
      <c r="S32" s="70">
        <v>3</v>
      </c>
      <c r="T32" s="70">
        <v>9</v>
      </c>
      <c r="U32" s="70">
        <v>9</v>
      </c>
      <c r="V32" s="70">
        <v>3</v>
      </c>
      <c r="W32" s="70">
        <v>10</v>
      </c>
      <c r="X32" s="70">
        <v>6</v>
      </c>
      <c r="Z32" t="s">
        <v>67</v>
      </c>
    </row>
    <row r="33" spans="1:36" ht="12.75" customHeight="1">
      <c r="A33" s="9" t="s">
        <v>175</v>
      </c>
      <c r="B33" s="3">
        <f t="shared" si="20"/>
        <v>38200</v>
      </c>
      <c r="C33">
        <f t="shared" si="18"/>
        <v>0</v>
      </c>
      <c r="D33">
        <f t="shared" si="19"/>
        <v>0</v>
      </c>
      <c r="E33">
        <f t="shared" si="8"/>
        <v>8</v>
      </c>
      <c r="F33" s="6" t="s">
        <v>91</v>
      </c>
      <c r="G33" s="61">
        <f>G17+(Forecast!E29/100)</f>
        <v>1.0957682926829269</v>
      </c>
      <c r="I33" s="61">
        <f>I17+(Forecast!G29/100)</f>
        <v>1.193329268292683</v>
      </c>
      <c r="K33" s="61">
        <f>K17+(Forecast!I29/100)</f>
        <v>1.5835731707317073</v>
      </c>
      <c r="M33" t="s">
        <v>112</v>
      </c>
      <c r="N33" s="70">
        <v>17</v>
      </c>
      <c r="O33" s="70">
        <v>14</v>
      </c>
      <c r="P33" s="70">
        <v>10</v>
      </c>
      <c r="Q33" s="70">
        <v>6</v>
      </c>
      <c r="R33" s="70">
        <v>18</v>
      </c>
      <c r="S33" s="70">
        <v>3</v>
      </c>
      <c r="T33" s="70">
        <v>9</v>
      </c>
      <c r="U33" s="70">
        <v>10</v>
      </c>
      <c r="V33" s="70">
        <v>4</v>
      </c>
      <c r="W33" s="70">
        <v>10</v>
      </c>
      <c r="X33" s="70">
        <v>7</v>
      </c>
      <c r="Z33" s="82" t="s">
        <v>68</v>
      </c>
      <c r="AA33" s="56">
        <f>(Forecast!I18-0.115)/0.82</f>
        <v>2.054878048780488</v>
      </c>
      <c r="AB33" s="56">
        <f>(Forecast!$G18-0.115)/0.82</f>
        <v>1.5670731707317074</v>
      </c>
      <c r="AC33" s="56">
        <f>(Forecast!$G18-0.115)/0.82</f>
        <v>1.5670731707317074</v>
      </c>
      <c r="AD33" s="56">
        <f>(Forecast!$G18-0.115)/0.82</f>
        <v>1.5670731707317074</v>
      </c>
      <c r="AE33" s="56">
        <f>(Forecast!$G18-0.115)/0.82</f>
        <v>1.5670731707317074</v>
      </c>
      <c r="AF33" s="56">
        <f>(Forecast!$G18-0.115)/0.82</f>
        <v>1.5670731707317074</v>
      </c>
      <c r="AG33" s="56">
        <f>(Forecast!$G18-0.115)/0.82</f>
        <v>1.5670731707317074</v>
      </c>
      <c r="AH33" s="56">
        <f>(Forecast!$G18-0.115)/0.82</f>
        <v>1.5670731707317074</v>
      </c>
      <c r="AI33" s="56">
        <f>(Forecast!$G18-0.115)/0.82</f>
        <v>1.5670731707317074</v>
      </c>
      <c r="AJ33" s="56"/>
    </row>
    <row r="34" spans="1:36" ht="12.75" customHeight="1">
      <c r="A34" s="9" t="s">
        <v>176</v>
      </c>
      <c r="B34" s="3">
        <f t="shared" si="20"/>
        <v>38231</v>
      </c>
      <c r="C34">
        <f t="shared" si="18"/>
        <v>0</v>
      </c>
      <c r="D34">
        <f t="shared" si="19"/>
        <v>0</v>
      </c>
      <c r="E34">
        <f t="shared" si="8"/>
        <v>9</v>
      </c>
      <c r="F34" s="6" t="s">
        <v>92</v>
      </c>
      <c r="G34" s="61">
        <f>0.965*G32+3.5*G33</f>
        <v>13.168050063013496</v>
      </c>
      <c r="I34" s="61">
        <f>0.965*I32+3.5*I33</f>
        <v>12.268278979602005</v>
      </c>
      <c r="K34" s="61">
        <f>0.965*K32+3.5*K33</f>
        <v>14.567909673003154</v>
      </c>
      <c r="M34" t="s">
        <v>113</v>
      </c>
      <c r="N34" s="70">
        <v>18</v>
      </c>
      <c r="O34" s="70">
        <v>14</v>
      </c>
      <c r="P34" s="70">
        <v>10</v>
      </c>
      <c r="Q34" s="70">
        <v>7</v>
      </c>
      <c r="R34" s="70">
        <v>19</v>
      </c>
      <c r="S34" s="70">
        <v>4</v>
      </c>
      <c r="T34" s="70">
        <v>9</v>
      </c>
      <c r="U34" s="70">
        <v>10</v>
      </c>
      <c r="V34" s="70">
        <v>2</v>
      </c>
      <c r="W34" s="70">
        <v>9</v>
      </c>
      <c r="X34" s="70">
        <v>7</v>
      </c>
      <c r="Z34" s="82" t="s">
        <v>24</v>
      </c>
      <c r="AA34" s="61">
        <f>(Forecast!$G19-0.165)*1.405+(((Forecast!$G19-0.165)*1.582)-0.9*AA33)*1.28</f>
        <v>1.3490694086900104</v>
      </c>
      <c r="AB34" s="61">
        <f>(Forecast!$I19-0.165)*1.405+(((Forecast!$I19-0.165)*1.582)-0.9*AB33)*1.28</f>
        <v>1.80951582255059</v>
      </c>
      <c r="AC34" s="61">
        <f>(Forecast!$G19-0.165)*1.405+(((Forecast!$G19-0.165)*1.582)-0.9*AC33)*1.28</f>
        <v>1.9110206282022058</v>
      </c>
      <c r="AD34" s="61">
        <f>(Forecast!$G19-0.165)*1.405+(((Forecast!$G19-0.165)*1.582)-0.9*AD33)*1.28</f>
        <v>1.9110206282022058</v>
      </c>
      <c r="AE34" s="61">
        <f>(Forecast!$G19-0.165)*1.405+(((Forecast!$G19-0.165)*1.582)-0.9*AE33)*1.28</f>
        <v>1.9110206282022058</v>
      </c>
      <c r="AF34" s="61">
        <f>(Forecast!$G19-0.165)*1.405+(((Forecast!$G19-0.165)*1.582)-0.9*AF33)*1.28</f>
        <v>1.9110206282022058</v>
      </c>
      <c r="AG34" s="61">
        <f>(Forecast!$G19-0.165)*1.405+(((Forecast!$G19-0.165)*1.582)-0.9*AG33)*1.28</f>
        <v>1.9110206282022058</v>
      </c>
      <c r="AH34" s="61">
        <f>(Forecast!$G19-0.165)*1.405+(((Forecast!$G19-0.165)*1.582)-0.9*AH33)*1.28</f>
        <v>1.9110206282022058</v>
      </c>
      <c r="AI34" s="61">
        <f>(Forecast!$G19-0.165)*1.405+(((Forecast!$G19-0.165)*1.582)-0.9*AI33)*1.28</f>
        <v>1.9110206282022058</v>
      </c>
      <c r="AJ34" s="61"/>
    </row>
    <row r="35" spans="1:36" ht="12.75" customHeight="1">
      <c r="A35" s="9" t="s">
        <v>177</v>
      </c>
      <c r="B35" s="3">
        <f t="shared" si="20"/>
        <v>38261</v>
      </c>
      <c r="C35">
        <f t="shared" si="18"/>
        <v>0</v>
      </c>
      <c r="D35">
        <f t="shared" si="19"/>
        <v>0</v>
      </c>
      <c r="E35">
        <f t="shared" si="8"/>
        <v>10</v>
      </c>
      <c r="M35" t="s">
        <v>114</v>
      </c>
      <c r="N35" s="70">
        <v>17</v>
      </c>
      <c r="O35" s="70">
        <v>15</v>
      </c>
      <c r="P35" s="70">
        <v>10</v>
      </c>
      <c r="Q35" s="70">
        <v>7</v>
      </c>
      <c r="R35" s="70">
        <v>16</v>
      </c>
      <c r="S35" s="70">
        <v>4</v>
      </c>
      <c r="T35" s="70">
        <v>7</v>
      </c>
      <c r="U35" s="70">
        <v>10</v>
      </c>
      <c r="V35" s="70">
        <v>4</v>
      </c>
      <c r="W35" s="70">
        <v>8</v>
      </c>
      <c r="X35" s="70">
        <v>7</v>
      </c>
      <c r="Z35" s="82" t="s">
        <v>25</v>
      </c>
      <c r="AA35" s="56">
        <f>(Forecast!$G20-0.159)/0.968</f>
        <v>0.07334710743801653</v>
      </c>
      <c r="AB35" s="56">
        <f>(Forecast!$G20-0.159)/0.968</f>
        <v>0.07334710743801653</v>
      </c>
      <c r="AC35" s="56">
        <f>(Forecast!$I20-0.159)/0.968</f>
        <v>0.09400826446280992</v>
      </c>
      <c r="AD35" s="56">
        <f>(Forecast!$G20-0.159)/0.968</f>
        <v>0.07334710743801653</v>
      </c>
      <c r="AE35" s="56">
        <f>(Forecast!$G20-0.159)/0.968</f>
        <v>0.07334710743801653</v>
      </c>
      <c r="AF35" s="56">
        <f>(Forecast!$G20-0.159)/0.968</f>
        <v>0.07334710743801653</v>
      </c>
      <c r="AG35" s="56">
        <f>(Forecast!$G20-0.159)/0.968</f>
        <v>0.07334710743801653</v>
      </c>
      <c r="AH35" s="56">
        <f>(Forecast!$G20-0.159)/0.968</f>
        <v>0.07334710743801653</v>
      </c>
      <c r="AI35" s="56">
        <f>(Forecast!$G20-0.159)/0.968</f>
        <v>0.07334710743801653</v>
      </c>
      <c r="AJ35" s="56"/>
    </row>
    <row r="36" spans="1:36" ht="12.75" customHeight="1">
      <c r="A36" s="9" t="s">
        <v>178</v>
      </c>
      <c r="B36" s="3">
        <f t="shared" si="20"/>
        <v>38292</v>
      </c>
      <c r="C36">
        <f t="shared" si="18"/>
        <v>0</v>
      </c>
      <c r="D36">
        <f t="shared" si="19"/>
        <v>0</v>
      </c>
      <c r="E36">
        <f t="shared" si="8"/>
        <v>11</v>
      </c>
      <c r="M36" t="s">
        <v>115</v>
      </c>
      <c r="N36" s="70">
        <v>18</v>
      </c>
      <c r="O36" s="70">
        <v>15</v>
      </c>
      <c r="P36" s="70">
        <v>10</v>
      </c>
      <c r="Q36" s="70">
        <v>8</v>
      </c>
      <c r="R36" s="70">
        <v>16</v>
      </c>
      <c r="S36" s="70">
        <v>4</v>
      </c>
      <c r="T36" s="70">
        <v>8</v>
      </c>
      <c r="U36" s="70">
        <v>8</v>
      </c>
      <c r="V36" s="70">
        <v>4</v>
      </c>
      <c r="W36" s="70">
        <v>7</v>
      </c>
      <c r="X36" s="70">
        <v>9</v>
      </c>
      <c r="Z36" s="82" t="s">
        <v>69</v>
      </c>
      <c r="AA36" s="61">
        <f>Forecast!$G21-0.14</f>
        <v>0.67</v>
      </c>
      <c r="AB36" s="61">
        <f>Forecast!$G21-0.14</f>
        <v>0.67</v>
      </c>
      <c r="AC36" s="61">
        <f>Forecast!$G21-0.14</f>
        <v>0.67</v>
      </c>
      <c r="AD36" s="61">
        <f>Forecast!$I21-0.14</f>
        <v>0.67</v>
      </c>
      <c r="AE36" s="61">
        <f>Forecast!$G21-0.14</f>
        <v>0.67</v>
      </c>
      <c r="AF36" s="61">
        <f>Forecast!$G21-0.14</f>
        <v>0.67</v>
      </c>
      <c r="AG36" s="61">
        <f>Forecast!$G21-0.14</f>
        <v>0.67</v>
      </c>
      <c r="AH36" s="61">
        <f>Forecast!$G21-0.14</f>
        <v>0.67</v>
      </c>
      <c r="AI36" s="61">
        <f>Forecast!$G21-0.14</f>
        <v>0.67</v>
      </c>
      <c r="AJ36" s="61"/>
    </row>
    <row r="37" spans="1:36" ht="12.75" customHeight="1">
      <c r="A37" s="9" t="s">
        <v>179</v>
      </c>
      <c r="B37" s="3">
        <f t="shared" si="20"/>
        <v>38322</v>
      </c>
      <c r="C37">
        <f t="shared" si="18"/>
        <v>0</v>
      </c>
      <c r="D37">
        <f t="shared" si="19"/>
        <v>0</v>
      </c>
      <c r="E37">
        <f t="shared" si="8"/>
        <v>12</v>
      </c>
      <c r="F37" s="76"/>
      <c r="M37" t="s">
        <v>116</v>
      </c>
      <c r="N37" s="70">
        <v>18</v>
      </c>
      <c r="O37" s="70">
        <v>15</v>
      </c>
      <c r="P37" s="70">
        <v>13</v>
      </c>
      <c r="Q37" s="70">
        <v>8</v>
      </c>
      <c r="R37" s="70">
        <v>16</v>
      </c>
      <c r="S37" s="70">
        <v>4</v>
      </c>
      <c r="T37" s="70">
        <v>8</v>
      </c>
      <c r="U37" s="70">
        <v>6</v>
      </c>
      <c r="V37" s="70">
        <v>5</v>
      </c>
      <c r="W37" s="70">
        <v>9</v>
      </c>
      <c r="X37" s="70">
        <v>9</v>
      </c>
      <c r="Z37" s="84" t="s">
        <v>75</v>
      </c>
      <c r="AA37" s="61">
        <f>Forecast!$G27-0.14</f>
        <v>0.74</v>
      </c>
      <c r="AB37" s="61">
        <f>Forecast!$G27-0.14</f>
        <v>0.74</v>
      </c>
      <c r="AC37" s="61">
        <f>Forecast!$G27-0.14</f>
        <v>0.74</v>
      </c>
      <c r="AD37" s="61">
        <f>Forecast!$G27-0.14</f>
        <v>0.74</v>
      </c>
      <c r="AE37" s="61">
        <f>Forecast!$G27-0.14</f>
        <v>0.74</v>
      </c>
      <c r="AF37" s="61">
        <f>Forecast!$G27-0.14</f>
        <v>0.74</v>
      </c>
      <c r="AG37" s="61">
        <f>Forecast!$G27-0.14</f>
        <v>0.74</v>
      </c>
      <c r="AH37" s="61">
        <f>Forecast!$I27-0.14</f>
        <v>0.77</v>
      </c>
      <c r="AI37" s="61">
        <f>Forecast!$G27-0.14</f>
        <v>0.74</v>
      </c>
      <c r="AJ37" s="61"/>
    </row>
    <row r="38" spans="1:36" ht="12.75" customHeight="1">
      <c r="A38" s="9" t="s">
        <v>180</v>
      </c>
      <c r="B38" s="3">
        <f t="shared" si="20"/>
        <v>38353</v>
      </c>
      <c r="C38">
        <f t="shared" si="18"/>
        <v>0</v>
      </c>
      <c r="D38">
        <f t="shared" si="19"/>
        <v>0</v>
      </c>
      <c r="E38">
        <f t="shared" si="8"/>
        <v>1</v>
      </c>
      <c r="M38" t="s">
        <v>117</v>
      </c>
      <c r="N38" s="70">
        <v>18</v>
      </c>
      <c r="O38" s="70">
        <v>16</v>
      </c>
      <c r="P38" s="70">
        <v>13</v>
      </c>
      <c r="Q38" s="70">
        <v>8</v>
      </c>
      <c r="R38" s="70">
        <v>18</v>
      </c>
      <c r="S38" s="70">
        <v>4</v>
      </c>
      <c r="T38" s="70">
        <v>8</v>
      </c>
      <c r="U38" s="70">
        <v>13</v>
      </c>
      <c r="V38" s="70">
        <v>4</v>
      </c>
      <c r="W38" s="70">
        <v>8</v>
      </c>
      <c r="X38" s="70">
        <v>6</v>
      </c>
      <c r="Z38" s="84" t="s">
        <v>81</v>
      </c>
      <c r="AA38" s="61">
        <f>(Forecast!$G24-0.115)/0.82</f>
        <v>1.176829268292683</v>
      </c>
      <c r="AB38" s="61">
        <f>(Forecast!$G24-0.115)/0.82</f>
        <v>1.176829268292683</v>
      </c>
      <c r="AC38" s="61">
        <f>(Forecast!$G24-0.115)/0.82</f>
        <v>1.176829268292683</v>
      </c>
      <c r="AD38" s="61">
        <f>(Forecast!$G24-0.115)/0.82</f>
        <v>1.176829268292683</v>
      </c>
      <c r="AE38" s="61">
        <f>(Forecast!$I24-0.115)/0.82</f>
        <v>1.5670731707317074</v>
      </c>
      <c r="AF38" s="61">
        <f>(Forecast!$G24-0.115)/0.82</f>
        <v>1.176829268292683</v>
      </c>
      <c r="AG38" s="61">
        <f>(Forecast!$G24-0.115)/0.82</f>
        <v>1.176829268292683</v>
      </c>
      <c r="AH38" s="61">
        <f>(Forecast!$G24-0.115)/0.82</f>
        <v>1.176829268292683</v>
      </c>
      <c r="AI38" s="61">
        <f>(Forecast!$G24-0.115)/0.82</f>
        <v>1.176829268292683</v>
      </c>
      <c r="AJ38" s="61"/>
    </row>
    <row r="39" spans="1:36" ht="12.75" customHeight="1">
      <c r="A39" s="9" t="s">
        <v>181</v>
      </c>
      <c r="B39" s="3">
        <f t="shared" si="20"/>
        <v>38384</v>
      </c>
      <c r="C39">
        <f t="shared" si="18"/>
        <v>0</v>
      </c>
      <c r="D39">
        <f t="shared" si="19"/>
        <v>0</v>
      </c>
      <c r="E39">
        <f t="shared" si="8"/>
        <v>2</v>
      </c>
      <c r="M39" t="s">
        <v>118</v>
      </c>
      <c r="N39" s="70">
        <v>19.3</v>
      </c>
      <c r="O39" s="70">
        <v>15</v>
      </c>
      <c r="P39" s="70">
        <v>11</v>
      </c>
      <c r="Q39" s="70">
        <v>5</v>
      </c>
      <c r="R39" s="70">
        <v>16</v>
      </c>
      <c r="S39" s="70">
        <v>4</v>
      </c>
      <c r="T39" s="70">
        <v>7</v>
      </c>
      <c r="U39" s="70">
        <v>12</v>
      </c>
      <c r="V39" s="70">
        <v>7</v>
      </c>
      <c r="W39" s="70">
        <v>8</v>
      </c>
      <c r="X39" s="70">
        <v>8</v>
      </c>
      <c r="Z39" s="84" t="s">
        <v>85</v>
      </c>
      <c r="AA39" s="61">
        <f>(Forecast!$G25-0.165)*1.405+(((Forecast!$G25-0.165)*1.582)-0.9*Data!AA38)*1.17</f>
        <v>2.0330184804878044</v>
      </c>
      <c r="AB39" s="61">
        <f>(Forecast!$G25-0.165)*1.405+(((Forecast!$G25-0.165)*1.582)-0.9*Data!AB38)*1.17</f>
        <v>2.0330184804878044</v>
      </c>
      <c r="AC39" s="61">
        <f>(Forecast!$G25-0.165)*1.405+(((Forecast!$G25-0.165)*1.582)-0.9*Data!AC38)*1.17</f>
        <v>2.0330184804878044</v>
      </c>
      <c r="AD39" s="61">
        <f>(Forecast!$G25-0.165)*1.405+(((Forecast!$G25-0.165)*1.582)-0.9*Data!AD38)*1.17</f>
        <v>2.0330184804878044</v>
      </c>
      <c r="AE39" s="61">
        <f>(Forecast!$G25-0.165)*1.405+(((Forecast!$G25-0.165)*1.582)-0.9*Data!AE38)*1.17</f>
        <v>1.6220916512195118</v>
      </c>
      <c r="AF39" s="61">
        <f>(Forecast!$I25-0.165)*1.405+(((Forecast!$I25-0.165)*1.582)-0.9*Data!AF38)*1.17</f>
        <v>2.716765880487804</v>
      </c>
      <c r="AG39" s="61">
        <f>(Forecast!$G25-0.165)*1.405+(((Forecast!$G25-0.165)*1.582)-0.9*Data!AG38)*1.17</f>
        <v>2.0330184804878044</v>
      </c>
      <c r="AH39" s="61">
        <f>(Forecast!$G25-0.165)*1.405+(((Forecast!$G25-0.165)*1.582)-0.9*Data!AH38)*1.17</f>
        <v>2.0330184804878044</v>
      </c>
      <c r="AI39" s="61">
        <f>(Forecast!$G25-0.165)*1.405+(((Forecast!$G25-0.165)*1.582)-0.9*Data!AI38)*1.17</f>
        <v>2.0330184804878044</v>
      </c>
      <c r="AJ39" s="61"/>
    </row>
    <row r="40" spans="1:36" ht="12.75" customHeight="1">
      <c r="A40" s="9" t="s">
        <v>182</v>
      </c>
      <c r="B40" s="3">
        <f t="shared" si="20"/>
        <v>38412</v>
      </c>
      <c r="C40">
        <f t="shared" si="18"/>
        <v>0</v>
      </c>
      <c r="D40">
        <f t="shared" si="19"/>
        <v>0</v>
      </c>
      <c r="E40">
        <f t="shared" si="8"/>
        <v>3</v>
      </c>
      <c r="M40" t="s">
        <v>119</v>
      </c>
      <c r="N40" s="70">
        <v>17.8</v>
      </c>
      <c r="O40" s="70">
        <v>15</v>
      </c>
      <c r="P40" s="70">
        <v>11</v>
      </c>
      <c r="Q40" s="70">
        <v>6</v>
      </c>
      <c r="R40" s="70">
        <v>16</v>
      </c>
      <c r="S40" s="70">
        <v>3</v>
      </c>
      <c r="T40" s="70">
        <v>7</v>
      </c>
      <c r="U40" s="70">
        <v>10</v>
      </c>
      <c r="V40" s="70">
        <v>7</v>
      </c>
      <c r="W40" s="70">
        <v>11</v>
      </c>
      <c r="X40" s="70">
        <v>6</v>
      </c>
      <c r="Z40" s="84" t="s">
        <v>86</v>
      </c>
      <c r="AA40" s="61">
        <f>(Forecast!$G26-0.159)/0.968</f>
        <v>0.07334710743801653</v>
      </c>
      <c r="AB40" s="61">
        <f>(Forecast!$G26-0.159)/0.968</f>
        <v>0.07334710743801653</v>
      </c>
      <c r="AC40" s="61">
        <f>(Forecast!$G26-0.159)/0.968</f>
        <v>0.07334710743801653</v>
      </c>
      <c r="AD40" s="61">
        <f>(Forecast!$G26-0.159)/0.968</f>
        <v>0.07334710743801653</v>
      </c>
      <c r="AE40" s="61">
        <f>(Forecast!$G26-0.159)/0.968</f>
        <v>0.07334710743801653</v>
      </c>
      <c r="AF40" s="61">
        <f>(Forecast!$G26-0.159)/0.968</f>
        <v>0.07334710743801653</v>
      </c>
      <c r="AG40" s="61">
        <f>(Forecast!$I26-0.159)/0.968</f>
        <v>0.09400826446280992</v>
      </c>
      <c r="AH40" s="61">
        <f>(Forecast!$G26-0.159)/0.968</f>
        <v>0.07334710743801653</v>
      </c>
      <c r="AI40" s="61">
        <f>(Forecast!$G26-0.159)/0.968</f>
        <v>0.07334710743801653</v>
      </c>
      <c r="AJ40" s="61"/>
    </row>
    <row r="41" spans="1:36" ht="12.75" customHeight="1">
      <c r="A41" s="9" t="s">
        <v>183</v>
      </c>
      <c r="B41" s="3">
        <f t="shared" si="20"/>
        <v>38443</v>
      </c>
      <c r="C41">
        <f t="shared" si="18"/>
        <v>0</v>
      </c>
      <c r="D41">
        <f t="shared" si="19"/>
        <v>0</v>
      </c>
      <c r="E41">
        <f t="shared" si="8"/>
        <v>4</v>
      </c>
      <c r="M41" t="s">
        <v>120</v>
      </c>
      <c r="N41" s="70">
        <v>19.7</v>
      </c>
      <c r="O41" s="70">
        <v>16</v>
      </c>
      <c r="P41" s="70">
        <v>12</v>
      </c>
      <c r="Q41" s="70">
        <v>6</v>
      </c>
      <c r="R41" s="70">
        <v>12</v>
      </c>
      <c r="S41" s="70">
        <v>3</v>
      </c>
      <c r="T41" s="70">
        <v>6</v>
      </c>
      <c r="U41" s="70">
        <v>8</v>
      </c>
      <c r="V41" s="70">
        <v>5</v>
      </c>
      <c r="W41" s="70">
        <v>11</v>
      </c>
      <c r="X41" s="70">
        <v>6</v>
      </c>
      <c r="Z41" s="87" t="s">
        <v>87</v>
      </c>
      <c r="AA41" s="61">
        <f aca="true" t="shared" si="21" ref="AA41:AI41">3.1*AA39+5.9*AA40</f>
        <v>6.735105223396491</v>
      </c>
      <c r="AB41" s="61">
        <f t="shared" si="21"/>
        <v>6.735105223396491</v>
      </c>
      <c r="AC41" s="61">
        <f t="shared" si="21"/>
        <v>6.735105223396491</v>
      </c>
      <c r="AD41" s="61">
        <f t="shared" si="21"/>
        <v>6.735105223396491</v>
      </c>
      <c r="AE41" s="61">
        <f t="shared" si="21"/>
        <v>5.461232052664784</v>
      </c>
      <c r="AF41" s="61">
        <f t="shared" si="21"/>
        <v>8.85472216339649</v>
      </c>
      <c r="AG41" s="61">
        <f t="shared" si="21"/>
        <v>6.857006049842772</v>
      </c>
      <c r="AH41" s="61">
        <f t="shared" si="21"/>
        <v>6.735105223396491</v>
      </c>
      <c r="AI41" s="61">
        <f t="shared" si="21"/>
        <v>6.735105223396491</v>
      </c>
      <c r="AJ41" s="61"/>
    </row>
    <row r="42" spans="1:36" ht="12.75" customHeight="1">
      <c r="A42" s="9" t="s">
        <v>184</v>
      </c>
      <c r="B42" s="3">
        <f t="shared" si="20"/>
        <v>38473</v>
      </c>
      <c r="C42">
        <f t="shared" si="18"/>
        <v>0</v>
      </c>
      <c r="D42">
        <f t="shared" si="19"/>
        <v>0</v>
      </c>
      <c r="E42">
        <f t="shared" si="8"/>
        <v>5</v>
      </c>
      <c r="M42" t="s">
        <v>121</v>
      </c>
      <c r="N42" s="70">
        <v>17.1</v>
      </c>
      <c r="O42" s="70">
        <v>13</v>
      </c>
      <c r="P42" s="70">
        <v>10</v>
      </c>
      <c r="Q42" s="70">
        <v>6</v>
      </c>
      <c r="R42" s="70">
        <v>11</v>
      </c>
      <c r="S42" s="70">
        <v>3</v>
      </c>
      <c r="T42" s="70">
        <v>6</v>
      </c>
      <c r="U42" s="70">
        <v>5</v>
      </c>
      <c r="V42" s="70">
        <v>5</v>
      </c>
      <c r="W42" s="70">
        <v>8</v>
      </c>
      <c r="X42" s="70">
        <v>6</v>
      </c>
      <c r="Z42" s="85" t="s">
        <v>88</v>
      </c>
      <c r="AA42" s="17">
        <f>9*AA37</f>
        <v>6.66</v>
      </c>
      <c r="AB42" s="17">
        <f aca="true" t="shared" si="22" ref="AB42:AI42">9*AB37</f>
        <v>6.66</v>
      </c>
      <c r="AC42" s="17">
        <f t="shared" si="22"/>
        <v>6.66</v>
      </c>
      <c r="AD42" s="17">
        <f t="shared" si="22"/>
        <v>6.66</v>
      </c>
      <c r="AE42" s="17">
        <f t="shared" si="22"/>
        <v>6.66</v>
      </c>
      <c r="AF42" s="17">
        <f t="shared" si="22"/>
        <v>6.66</v>
      </c>
      <c r="AG42" s="17">
        <f t="shared" si="22"/>
        <v>6.66</v>
      </c>
      <c r="AH42" s="17">
        <f t="shared" si="22"/>
        <v>6.93</v>
      </c>
      <c r="AI42" s="17">
        <f t="shared" si="22"/>
        <v>6.66</v>
      </c>
      <c r="AJ42" s="17"/>
    </row>
    <row r="43" spans="1:27" ht="12.75" customHeight="1">
      <c r="A43" s="9" t="s">
        <v>185</v>
      </c>
      <c r="B43" s="3">
        <f t="shared" si="20"/>
        <v>38504</v>
      </c>
      <c r="C43">
        <f t="shared" si="18"/>
        <v>0</v>
      </c>
      <c r="D43">
        <f t="shared" si="19"/>
        <v>0</v>
      </c>
      <c r="E43">
        <f t="shared" si="8"/>
        <v>6</v>
      </c>
      <c r="M43" t="s">
        <v>122</v>
      </c>
      <c r="N43" s="70">
        <v>14.1</v>
      </c>
      <c r="O43" s="70">
        <v>12</v>
      </c>
      <c r="P43" s="70">
        <v>9</v>
      </c>
      <c r="Q43" s="70">
        <v>7</v>
      </c>
      <c r="R43" s="70">
        <v>7</v>
      </c>
      <c r="S43" s="70">
        <v>3</v>
      </c>
      <c r="T43" s="70">
        <v>6</v>
      </c>
      <c r="U43" s="70">
        <v>4</v>
      </c>
      <c r="V43" s="70">
        <v>4</v>
      </c>
      <c r="W43" s="70">
        <v>8</v>
      </c>
      <c r="X43" s="70">
        <v>5</v>
      </c>
      <c r="Z43" s="63"/>
      <c r="AA43" s="18"/>
    </row>
    <row r="44" spans="1:26" ht="12.75" customHeight="1">
      <c r="A44" s="9" t="s">
        <v>186</v>
      </c>
      <c r="B44" s="3">
        <f t="shared" si="20"/>
        <v>38534</v>
      </c>
      <c r="C44">
        <f t="shared" si="18"/>
        <v>0</v>
      </c>
      <c r="D44">
        <f t="shared" si="19"/>
        <v>0</v>
      </c>
      <c r="E44">
        <f t="shared" si="8"/>
        <v>7</v>
      </c>
      <c r="S44" s="111">
        <f>AVERAGE(S32:S43)</f>
        <v>3.5</v>
      </c>
      <c r="Z44" t="s">
        <v>70</v>
      </c>
    </row>
    <row r="45" spans="1:36" ht="12.75" customHeight="1">
      <c r="A45" s="9" t="s">
        <v>187</v>
      </c>
      <c r="B45" s="3">
        <f t="shared" si="20"/>
        <v>38565</v>
      </c>
      <c r="C45">
        <f t="shared" si="18"/>
        <v>0</v>
      </c>
      <c r="D45">
        <f t="shared" si="19"/>
        <v>0</v>
      </c>
      <c r="E45">
        <f t="shared" si="8"/>
        <v>8</v>
      </c>
      <c r="M45" t="s">
        <v>124</v>
      </c>
      <c r="Z45" s="83" t="s">
        <v>73</v>
      </c>
      <c r="AA45" s="61">
        <f>AA36*9</f>
        <v>6.03</v>
      </c>
      <c r="AB45" s="61">
        <f aca="true" t="shared" si="23" ref="AB45:AI45">AB36*9</f>
        <v>6.03</v>
      </c>
      <c r="AC45" s="61">
        <f t="shared" si="23"/>
        <v>6.03</v>
      </c>
      <c r="AD45" s="61">
        <f t="shared" si="23"/>
        <v>6.03</v>
      </c>
      <c r="AE45" s="61">
        <f t="shared" si="23"/>
        <v>6.03</v>
      </c>
      <c r="AF45" s="61">
        <f t="shared" si="23"/>
        <v>6.03</v>
      </c>
      <c r="AG45" s="61">
        <f t="shared" si="23"/>
        <v>6.03</v>
      </c>
      <c r="AH45" s="61">
        <f t="shared" si="23"/>
        <v>6.03</v>
      </c>
      <c r="AI45" s="61">
        <f t="shared" si="23"/>
        <v>6.03</v>
      </c>
      <c r="AJ45" s="61"/>
    </row>
    <row r="46" spans="1:36" ht="12.75" customHeight="1">
      <c r="A46" s="9" t="s">
        <v>188</v>
      </c>
      <c r="B46" s="3">
        <f t="shared" si="20"/>
        <v>38596</v>
      </c>
      <c r="C46">
        <f t="shared" si="18"/>
        <v>0</v>
      </c>
      <c r="D46">
        <f t="shared" si="19"/>
        <v>0</v>
      </c>
      <c r="E46">
        <f t="shared" si="8"/>
        <v>9</v>
      </c>
      <c r="N46" s="69" t="s">
        <v>97</v>
      </c>
      <c r="O46" s="69" t="s">
        <v>98</v>
      </c>
      <c r="P46" s="69" t="s">
        <v>99</v>
      </c>
      <c r="Q46" s="69" t="s">
        <v>100</v>
      </c>
      <c r="R46" s="69" t="s">
        <v>101</v>
      </c>
      <c r="S46" s="69" t="s">
        <v>102</v>
      </c>
      <c r="T46" s="69" t="s">
        <v>103</v>
      </c>
      <c r="U46" s="69" t="s">
        <v>104</v>
      </c>
      <c r="V46" s="69" t="s">
        <v>107</v>
      </c>
      <c r="W46" s="69" t="s">
        <v>105</v>
      </c>
      <c r="X46" s="69" t="s">
        <v>106</v>
      </c>
      <c r="Z46" s="83" t="s">
        <v>74</v>
      </c>
      <c r="AA46" s="61">
        <f aca="true" t="shared" si="24" ref="AA46:AI46">AA45*0.965+3.5*AA33</f>
        <v>13.011023170731708</v>
      </c>
      <c r="AB46" s="61">
        <f t="shared" si="24"/>
        <v>11.303706097560976</v>
      </c>
      <c r="AC46" s="61">
        <f t="shared" si="24"/>
        <v>11.303706097560976</v>
      </c>
      <c r="AD46" s="61">
        <f t="shared" si="24"/>
        <v>11.303706097560976</v>
      </c>
      <c r="AE46" s="61">
        <f t="shared" si="24"/>
        <v>11.303706097560976</v>
      </c>
      <c r="AF46" s="61">
        <f t="shared" si="24"/>
        <v>11.303706097560976</v>
      </c>
      <c r="AG46" s="61">
        <f t="shared" si="24"/>
        <v>11.303706097560976</v>
      </c>
      <c r="AH46" s="61">
        <f t="shared" si="24"/>
        <v>11.303706097560976</v>
      </c>
      <c r="AI46" s="61">
        <f t="shared" si="24"/>
        <v>11.303706097560976</v>
      </c>
      <c r="AJ46" s="61"/>
    </row>
    <row r="47" spans="1:36" ht="12.75" customHeight="1">
      <c r="A47" s="9" t="s">
        <v>189</v>
      </c>
      <c r="B47" s="3">
        <f t="shared" si="20"/>
        <v>38626</v>
      </c>
      <c r="C47">
        <f t="shared" si="18"/>
        <v>0</v>
      </c>
      <c r="D47">
        <f t="shared" si="19"/>
        <v>0</v>
      </c>
      <c r="E47">
        <f t="shared" si="8"/>
        <v>10</v>
      </c>
      <c r="M47" t="s">
        <v>111</v>
      </c>
      <c r="N47" s="70">
        <v>27</v>
      </c>
      <c r="O47" s="70">
        <v>3</v>
      </c>
      <c r="P47" s="70">
        <v>16</v>
      </c>
      <c r="Q47" s="70">
        <v>3</v>
      </c>
      <c r="R47" s="70">
        <v>23</v>
      </c>
      <c r="S47" s="70">
        <v>81</v>
      </c>
      <c r="T47" s="70">
        <v>41</v>
      </c>
      <c r="U47" s="70">
        <v>32</v>
      </c>
      <c r="V47" s="70">
        <v>37</v>
      </c>
      <c r="W47" s="70">
        <v>43</v>
      </c>
      <c r="X47" s="70">
        <v>32</v>
      </c>
      <c r="Z47" s="83" t="s">
        <v>71</v>
      </c>
      <c r="AA47" s="61">
        <f>3.1*AA34+5.9*AA35</f>
        <v>4.61486310082333</v>
      </c>
      <c r="AB47" s="61">
        <f aca="true" t="shared" si="25" ref="AB47:AI47">3.1*AB34+5.9*AB35</f>
        <v>6.042246983791127</v>
      </c>
      <c r="AC47" s="61">
        <f t="shared" si="25"/>
        <v>6.478812707757417</v>
      </c>
      <c r="AD47" s="61">
        <f t="shared" si="25"/>
        <v>6.356911881311136</v>
      </c>
      <c r="AE47" s="61">
        <f t="shared" si="25"/>
        <v>6.356911881311136</v>
      </c>
      <c r="AF47" s="61">
        <f t="shared" si="25"/>
        <v>6.356911881311136</v>
      </c>
      <c r="AG47" s="61">
        <f t="shared" si="25"/>
        <v>6.356911881311136</v>
      </c>
      <c r="AH47" s="61">
        <f t="shared" si="25"/>
        <v>6.356911881311136</v>
      </c>
      <c r="AI47" s="61">
        <f t="shared" si="25"/>
        <v>6.356911881311136</v>
      </c>
      <c r="AJ47" s="61"/>
    </row>
    <row r="48" spans="1:36" ht="12.75" customHeight="1">
      <c r="A48" s="9" t="s">
        <v>190</v>
      </c>
      <c r="B48" s="3">
        <f t="shared" si="20"/>
        <v>38657</v>
      </c>
      <c r="C48">
        <f t="shared" si="18"/>
        <v>0</v>
      </c>
      <c r="D48">
        <f t="shared" si="19"/>
        <v>0</v>
      </c>
      <c r="E48">
        <f t="shared" si="8"/>
        <v>11</v>
      </c>
      <c r="M48" t="s">
        <v>112</v>
      </c>
      <c r="N48" s="70">
        <v>28</v>
      </c>
      <c r="O48" s="70">
        <v>3</v>
      </c>
      <c r="P48" s="70">
        <v>16</v>
      </c>
      <c r="Q48" s="70">
        <v>2</v>
      </c>
      <c r="R48" s="70">
        <v>24</v>
      </c>
      <c r="S48" s="70">
        <v>81</v>
      </c>
      <c r="T48" s="70">
        <v>46</v>
      </c>
      <c r="U48" s="70">
        <v>35</v>
      </c>
      <c r="V48" s="70">
        <v>34</v>
      </c>
      <c r="W48" s="70">
        <v>43</v>
      </c>
      <c r="X48" s="70">
        <v>32</v>
      </c>
      <c r="Z48" s="83" t="s">
        <v>72</v>
      </c>
      <c r="AA48" s="61">
        <f aca="true" t="shared" si="26" ref="AA48:AI48">AA47*0.965+3.5*AA33</f>
        <v>11.645416063026222</v>
      </c>
      <c r="AB48" s="61">
        <f t="shared" si="26"/>
        <v>11.315524436919414</v>
      </c>
      <c r="AC48" s="61">
        <f t="shared" si="26"/>
        <v>11.736810360546883</v>
      </c>
      <c r="AD48" s="61">
        <f t="shared" si="26"/>
        <v>11.619176063026224</v>
      </c>
      <c r="AE48" s="61">
        <f t="shared" si="26"/>
        <v>11.619176063026224</v>
      </c>
      <c r="AF48" s="61">
        <f t="shared" si="26"/>
        <v>11.619176063026224</v>
      </c>
      <c r="AG48" s="61">
        <f t="shared" si="26"/>
        <v>11.619176063026224</v>
      </c>
      <c r="AH48" s="61">
        <f t="shared" si="26"/>
        <v>11.619176063026224</v>
      </c>
      <c r="AI48" s="61">
        <f t="shared" si="26"/>
        <v>11.619176063026224</v>
      </c>
      <c r="AJ48" s="61"/>
    </row>
    <row r="49" spans="1:36" ht="12.75" customHeight="1">
      <c r="A49" s="9" t="s">
        <v>191</v>
      </c>
      <c r="B49" s="3">
        <f t="shared" si="20"/>
        <v>38687</v>
      </c>
      <c r="C49">
        <f t="shared" si="18"/>
        <v>0</v>
      </c>
      <c r="D49">
        <f t="shared" si="19"/>
        <v>0</v>
      </c>
      <c r="E49">
        <f t="shared" si="8"/>
        <v>12</v>
      </c>
      <c r="M49" t="s">
        <v>113</v>
      </c>
      <c r="N49" s="70">
        <v>28</v>
      </c>
      <c r="O49" s="70">
        <v>4</v>
      </c>
      <c r="P49" s="70">
        <v>17</v>
      </c>
      <c r="Q49" s="70">
        <v>2</v>
      </c>
      <c r="R49" s="70">
        <v>24</v>
      </c>
      <c r="S49" s="70">
        <v>79</v>
      </c>
      <c r="T49" s="70">
        <v>54</v>
      </c>
      <c r="U49" s="70">
        <v>39</v>
      </c>
      <c r="V49" s="70">
        <v>34</v>
      </c>
      <c r="W49" s="70">
        <v>43</v>
      </c>
      <c r="X49" s="70">
        <v>32</v>
      </c>
      <c r="Z49" s="86" t="s">
        <v>77</v>
      </c>
      <c r="AA49" s="61">
        <f>AA42+0.7</f>
        <v>7.36</v>
      </c>
      <c r="AB49" s="61">
        <f aca="true" t="shared" si="27" ref="AB49:AI49">AB42+0.7</f>
        <v>7.36</v>
      </c>
      <c r="AC49" s="61">
        <f t="shared" si="27"/>
        <v>7.36</v>
      </c>
      <c r="AD49" s="61">
        <f t="shared" si="27"/>
        <v>7.36</v>
      </c>
      <c r="AE49" s="61">
        <f t="shared" si="27"/>
        <v>7.36</v>
      </c>
      <c r="AF49" s="61">
        <f t="shared" si="27"/>
        <v>7.36</v>
      </c>
      <c r="AG49" s="61">
        <f t="shared" si="27"/>
        <v>7.36</v>
      </c>
      <c r="AH49" s="61">
        <f t="shared" si="27"/>
        <v>7.63</v>
      </c>
      <c r="AI49" s="61">
        <f t="shared" si="27"/>
        <v>7.36</v>
      </c>
      <c r="AJ49" s="61"/>
    </row>
    <row r="50" spans="1:36" ht="12.75" customHeight="1">
      <c r="A50" s="9" t="s">
        <v>192</v>
      </c>
      <c r="B50" s="3">
        <f t="shared" si="20"/>
        <v>38718</v>
      </c>
      <c r="C50">
        <f t="shared" si="18"/>
        <v>0</v>
      </c>
      <c r="D50">
        <f t="shared" si="19"/>
        <v>0</v>
      </c>
      <c r="E50">
        <f t="shared" si="8"/>
        <v>1</v>
      </c>
      <c r="M50" t="s">
        <v>114</v>
      </c>
      <c r="N50" s="70">
        <v>31</v>
      </c>
      <c r="O50" s="70">
        <v>9</v>
      </c>
      <c r="P50" s="70">
        <v>19</v>
      </c>
      <c r="Q50" s="70">
        <v>3</v>
      </c>
      <c r="R50" s="70">
        <v>27</v>
      </c>
      <c r="S50" s="70">
        <v>79</v>
      </c>
      <c r="T50" s="70">
        <v>61</v>
      </c>
      <c r="U50" s="70">
        <v>43</v>
      </c>
      <c r="V50" s="70">
        <v>31</v>
      </c>
      <c r="W50" s="70">
        <v>58</v>
      </c>
      <c r="X50" s="70">
        <v>32</v>
      </c>
      <c r="Z50" s="86" t="s">
        <v>79</v>
      </c>
      <c r="AA50" s="61">
        <f aca="true" t="shared" si="28" ref="AA50:AI50">AA49/9</f>
        <v>0.8177777777777778</v>
      </c>
      <c r="AB50" s="61">
        <f t="shared" si="28"/>
        <v>0.8177777777777778</v>
      </c>
      <c r="AC50" s="61">
        <f t="shared" si="28"/>
        <v>0.8177777777777778</v>
      </c>
      <c r="AD50" s="61">
        <f t="shared" si="28"/>
        <v>0.8177777777777778</v>
      </c>
      <c r="AE50" s="61">
        <f t="shared" si="28"/>
        <v>0.8177777777777778</v>
      </c>
      <c r="AF50" s="61">
        <f t="shared" si="28"/>
        <v>0.8177777777777778</v>
      </c>
      <c r="AG50" s="61">
        <f t="shared" si="28"/>
        <v>0.8177777777777778</v>
      </c>
      <c r="AH50" s="61">
        <f t="shared" si="28"/>
        <v>0.8477777777777777</v>
      </c>
      <c r="AI50" s="61">
        <f t="shared" si="28"/>
        <v>0.8177777777777778</v>
      </c>
      <c r="AJ50" s="61"/>
    </row>
    <row r="51" spans="1:36" ht="12.75" customHeight="1">
      <c r="A51" s="9" t="s">
        <v>193</v>
      </c>
      <c r="B51" s="3">
        <f t="shared" si="20"/>
        <v>38749</v>
      </c>
      <c r="C51">
        <f t="shared" si="18"/>
        <v>0</v>
      </c>
      <c r="D51">
        <f t="shared" si="19"/>
        <v>0</v>
      </c>
      <c r="E51">
        <f t="shared" si="8"/>
        <v>2</v>
      </c>
      <c r="M51" t="s">
        <v>115</v>
      </c>
      <c r="N51" s="70">
        <v>29</v>
      </c>
      <c r="O51" s="70">
        <v>12</v>
      </c>
      <c r="P51" s="70">
        <v>20</v>
      </c>
      <c r="Q51" s="70">
        <v>2</v>
      </c>
      <c r="R51" s="70">
        <v>27</v>
      </c>
      <c r="S51" s="70">
        <v>79</v>
      </c>
      <c r="T51" s="70">
        <v>63</v>
      </c>
      <c r="U51" s="70">
        <v>43</v>
      </c>
      <c r="V51" s="70">
        <v>32</v>
      </c>
      <c r="W51" s="70">
        <v>64</v>
      </c>
      <c r="X51" s="70">
        <v>39</v>
      </c>
      <c r="Z51" s="86" t="s">
        <v>80</v>
      </c>
      <c r="AA51" s="61">
        <f>AA33+0.007</f>
        <v>2.061878048780488</v>
      </c>
      <c r="AB51" s="61">
        <f aca="true" t="shared" si="29" ref="AB51:AI51">AB33+0.007</f>
        <v>1.5740731707317073</v>
      </c>
      <c r="AC51" s="61">
        <f t="shared" si="29"/>
        <v>1.5740731707317073</v>
      </c>
      <c r="AD51" s="61">
        <f t="shared" si="29"/>
        <v>1.5740731707317073</v>
      </c>
      <c r="AE51" s="61">
        <f t="shared" si="29"/>
        <v>1.5740731707317073</v>
      </c>
      <c r="AF51" s="61">
        <f t="shared" si="29"/>
        <v>1.5740731707317073</v>
      </c>
      <c r="AG51" s="61">
        <f t="shared" si="29"/>
        <v>1.5740731707317073</v>
      </c>
      <c r="AH51" s="61">
        <f t="shared" si="29"/>
        <v>1.5740731707317073</v>
      </c>
      <c r="AI51" s="61">
        <f t="shared" si="29"/>
        <v>1.5740731707317073</v>
      </c>
      <c r="AJ51" s="61"/>
    </row>
    <row r="52" spans="1:36" ht="12.75" customHeight="1">
      <c r="A52" s="9" t="s">
        <v>194</v>
      </c>
      <c r="B52" s="3">
        <f t="shared" si="20"/>
        <v>38777</v>
      </c>
      <c r="C52">
        <f t="shared" si="18"/>
        <v>0</v>
      </c>
      <c r="D52">
        <f t="shared" si="19"/>
        <v>0</v>
      </c>
      <c r="E52">
        <f t="shared" si="8"/>
        <v>3</v>
      </c>
      <c r="M52" t="s">
        <v>116</v>
      </c>
      <c r="N52" s="70">
        <v>30</v>
      </c>
      <c r="O52" s="70">
        <v>12</v>
      </c>
      <c r="P52" s="70">
        <v>19</v>
      </c>
      <c r="Q52" s="70">
        <v>2</v>
      </c>
      <c r="R52" s="70">
        <v>30</v>
      </c>
      <c r="S52" s="70">
        <v>79</v>
      </c>
      <c r="T52" s="70">
        <v>63</v>
      </c>
      <c r="U52" s="70">
        <v>44</v>
      </c>
      <c r="V52" s="70">
        <v>32</v>
      </c>
      <c r="W52" s="70">
        <v>65</v>
      </c>
      <c r="X52" s="70">
        <v>39</v>
      </c>
      <c r="Z52" s="86" t="s">
        <v>78</v>
      </c>
      <c r="AA52" s="61">
        <f aca="true" t="shared" si="30" ref="AA52:AI52">AA49*0.965+3.5*AA51</f>
        <v>14.31897317073171</v>
      </c>
      <c r="AB52" s="61">
        <f t="shared" si="30"/>
        <v>12.611656097560974</v>
      </c>
      <c r="AC52" s="61">
        <f t="shared" si="30"/>
        <v>12.611656097560974</v>
      </c>
      <c r="AD52" s="61">
        <f t="shared" si="30"/>
        <v>12.611656097560974</v>
      </c>
      <c r="AE52" s="61">
        <f t="shared" si="30"/>
        <v>12.611656097560974</v>
      </c>
      <c r="AF52" s="61">
        <f t="shared" si="30"/>
        <v>12.611656097560974</v>
      </c>
      <c r="AG52" s="61">
        <f t="shared" si="30"/>
        <v>12.611656097560974</v>
      </c>
      <c r="AH52" s="61">
        <f t="shared" si="30"/>
        <v>12.872206097560975</v>
      </c>
      <c r="AI52" s="61">
        <f t="shared" si="30"/>
        <v>12.611656097560974</v>
      </c>
      <c r="AJ52" s="61"/>
    </row>
    <row r="53" spans="1:36" ht="12.75">
      <c r="A53" s="9" t="s">
        <v>195</v>
      </c>
      <c r="B53" s="3">
        <f t="shared" si="20"/>
        <v>38808</v>
      </c>
      <c r="C53">
        <f t="shared" si="18"/>
        <v>0</v>
      </c>
      <c r="D53">
        <f t="shared" si="19"/>
        <v>0</v>
      </c>
      <c r="E53">
        <f t="shared" si="8"/>
        <v>4</v>
      </c>
      <c r="M53" t="s">
        <v>117</v>
      </c>
      <c r="N53" s="70">
        <v>32</v>
      </c>
      <c r="O53" s="70">
        <v>6</v>
      </c>
      <c r="P53" s="70">
        <v>16</v>
      </c>
      <c r="Q53" s="70">
        <v>2</v>
      </c>
      <c r="R53" s="70">
        <v>32</v>
      </c>
      <c r="S53" s="70">
        <v>79</v>
      </c>
      <c r="T53" s="70">
        <v>63</v>
      </c>
      <c r="U53" s="70">
        <v>35</v>
      </c>
      <c r="V53" s="70">
        <v>35</v>
      </c>
      <c r="W53" s="70">
        <v>66</v>
      </c>
      <c r="X53" s="70">
        <v>34</v>
      </c>
      <c r="Z53" s="88" t="s">
        <v>90</v>
      </c>
      <c r="AA53" s="61">
        <f>MAX(AA41:AA42)+Forecast!$G29</f>
        <v>8.385105223396492</v>
      </c>
      <c r="AB53" s="61">
        <f>MAX(AB41:AB42)+Forecast!$G29</f>
        <v>8.385105223396492</v>
      </c>
      <c r="AC53" s="61">
        <f>MAX(AC41:AC42)+Forecast!$G29</f>
        <v>8.385105223396492</v>
      </c>
      <c r="AD53" s="61">
        <f>MAX(AD41:AD42)+Forecast!$G29</f>
        <v>8.385105223396492</v>
      </c>
      <c r="AE53" s="61">
        <f>MAX(AE41:AE42)+Forecast!$G29</f>
        <v>8.31</v>
      </c>
      <c r="AF53" s="61">
        <f>MAX(AF41:AF42)+Forecast!$G29</f>
        <v>10.50472216339649</v>
      </c>
      <c r="AG53" s="61">
        <f>MAX(AG41:AG42)+Forecast!$G29</f>
        <v>8.507006049842772</v>
      </c>
      <c r="AH53" s="61">
        <f>MAX(AH41:AH42)+Forecast!$G29</f>
        <v>8.58</v>
      </c>
      <c r="AI53" s="61">
        <f>MAX(AI41:AI42)+Forecast!$I29</f>
        <v>8.385105223396492</v>
      </c>
      <c r="AJ53" s="61"/>
    </row>
    <row r="54" spans="1:36" ht="12.75">
      <c r="A54" s="9" t="s">
        <v>196</v>
      </c>
      <c r="B54" s="3">
        <f t="shared" si="20"/>
        <v>38838</v>
      </c>
      <c r="C54">
        <f t="shared" si="18"/>
        <v>0</v>
      </c>
      <c r="D54">
        <f t="shared" si="19"/>
        <v>0</v>
      </c>
      <c r="E54">
        <f t="shared" si="8"/>
        <v>5</v>
      </c>
      <c r="M54" t="s">
        <v>118</v>
      </c>
      <c r="N54" s="70">
        <v>31</v>
      </c>
      <c r="O54" s="70">
        <v>5</v>
      </c>
      <c r="P54" s="70">
        <v>13</v>
      </c>
      <c r="Q54" s="70">
        <v>2</v>
      </c>
      <c r="R54" s="70">
        <v>31</v>
      </c>
      <c r="S54" s="70">
        <v>77</v>
      </c>
      <c r="T54" s="70">
        <v>61</v>
      </c>
      <c r="U54" s="70">
        <v>34</v>
      </c>
      <c r="V54" s="70">
        <v>36</v>
      </c>
      <c r="W54" s="70">
        <v>62</v>
      </c>
      <c r="X54" s="70">
        <v>33</v>
      </c>
      <c r="Z54" s="88" t="s">
        <v>91</v>
      </c>
      <c r="AA54" s="61">
        <f>AA38+(Forecast!$G29/100)</f>
        <v>1.193329268292683</v>
      </c>
      <c r="AB54" s="61">
        <f>AB38+(Forecast!$G29/100)</f>
        <v>1.193329268292683</v>
      </c>
      <c r="AC54" s="61">
        <f>AC38+(Forecast!$G29/100)</f>
        <v>1.193329268292683</v>
      </c>
      <c r="AD54" s="61">
        <f>AD38+(Forecast!$G29/100)</f>
        <v>1.193329268292683</v>
      </c>
      <c r="AE54" s="61">
        <f>AE38+(Forecast!$G29/100)</f>
        <v>1.5835731707317073</v>
      </c>
      <c r="AF54" s="61">
        <f>AF38+(Forecast!$G29/100)</f>
        <v>1.193329268292683</v>
      </c>
      <c r="AG54" s="61">
        <f>AG38+(Forecast!$G29/100)</f>
        <v>1.193329268292683</v>
      </c>
      <c r="AH54" s="61">
        <f>AH38+(Forecast!$G29/100)</f>
        <v>1.193329268292683</v>
      </c>
      <c r="AI54" s="61">
        <f>AI38+(Forecast!$I29/100)</f>
        <v>1.193329268292683</v>
      </c>
      <c r="AJ54" s="61"/>
    </row>
    <row r="55" spans="1:36" ht="12.75">
      <c r="A55" s="9" t="s">
        <v>197</v>
      </c>
      <c r="B55" s="3">
        <f t="shared" si="20"/>
        <v>38869</v>
      </c>
      <c r="C55">
        <f t="shared" si="18"/>
        <v>0</v>
      </c>
      <c r="D55">
        <f t="shared" si="19"/>
        <v>0</v>
      </c>
      <c r="E55">
        <f t="shared" si="8"/>
        <v>6</v>
      </c>
      <c r="M55" t="s">
        <v>119</v>
      </c>
      <c r="N55" s="70">
        <v>28.8</v>
      </c>
      <c r="O55" s="70">
        <v>4</v>
      </c>
      <c r="P55" s="70">
        <v>14</v>
      </c>
      <c r="Q55" s="70">
        <v>2</v>
      </c>
      <c r="R55" s="70">
        <v>34</v>
      </c>
      <c r="S55" s="70">
        <v>76</v>
      </c>
      <c r="T55" s="70">
        <v>59</v>
      </c>
      <c r="U55" s="70">
        <v>35</v>
      </c>
      <c r="V55" s="70">
        <v>43</v>
      </c>
      <c r="W55" s="70">
        <v>58</v>
      </c>
      <c r="X55" s="70">
        <v>36</v>
      </c>
      <c r="Z55" s="86" t="s">
        <v>92</v>
      </c>
      <c r="AA55" s="61">
        <f aca="true" t="shared" si="31" ref="AA55:AI55">0.965*AA53+3.5*AA54</f>
        <v>12.268278979602005</v>
      </c>
      <c r="AB55" s="61">
        <f t="shared" si="31"/>
        <v>12.268278979602005</v>
      </c>
      <c r="AC55" s="61">
        <f t="shared" si="31"/>
        <v>12.268278979602005</v>
      </c>
      <c r="AD55" s="61">
        <f t="shared" si="31"/>
        <v>12.268278979602005</v>
      </c>
      <c r="AE55" s="61">
        <f t="shared" si="31"/>
        <v>13.561656097560975</v>
      </c>
      <c r="AF55" s="61">
        <f t="shared" si="31"/>
        <v>14.313709326702003</v>
      </c>
      <c r="AG55" s="61">
        <f t="shared" si="31"/>
        <v>12.385913277122667</v>
      </c>
      <c r="AH55" s="61">
        <f t="shared" si="31"/>
        <v>12.456352439024391</v>
      </c>
      <c r="AI55" s="61">
        <f t="shared" si="31"/>
        <v>12.268278979602005</v>
      </c>
      <c r="AJ55" s="61"/>
    </row>
    <row r="56" spans="1:24" ht="12.75">
      <c r="A56" s="9" t="s">
        <v>198</v>
      </c>
      <c r="B56" s="3">
        <f t="shared" si="20"/>
        <v>38899</v>
      </c>
      <c r="C56">
        <f t="shared" si="18"/>
        <v>0</v>
      </c>
      <c r="D56">
        <f t="shared" si="19"/>
        <v>0</v>
      </c>
      <c r="E56">
        <f t="shared" si="8"/>
        <v>7</v>
      </c>
      <c r="M56" t="s">
        <v>120</v>
      </c>
      <c r="N56" s="70">
        <v>27.3</v>
      </c>
      <c r="O56" s="70">
        <v>4</v>
      </c>
      <c r="P56" s="70">
        <v>15</v>
      </c>
      <c r="Q56" s="70">
        <v>2</v>
      </c>
      <c r="R56" s="70">
        <v>39</v>
      </c>
      <c r="S56" s="70">
        <v>75</v>
      </c>
      <c r="T56" s="70">
        <v>61</v>
      </c>
      <c r="U56" s="70">
        <v>36</v>
      </c>
      <c r="V56" s="70">
        <v>44</v>
      </c>
      <c r="W56" s="70">
        <v>58</v>
      </c>
      <c r="X56" s="70">
        <v>35</v>
      </c>
    </row>
    <row r="57" spans="1:35" ht="12.75">
      <c r="A57" s="9" t="s">
        <v>199</v>
      </c>
      <c r="B57" s="3">
        <f t="shared" si="20"/>
        <v>38930</v>
      </c>
      <c r="C57">
        <f t="shared" si="18"/>
        <v>0</v>
      </c>
      <c r="D57">
        <f t="shared" si="19"/>
        <v>0</v>
      </c>
      <c r="E57">
        <f t="shared" si="8"/>
        <v>8</v>
      </c>
      <c r="M57" t="s">
        <v>121</v>
      </c>
      <c r="N57" s="70">
        <v>28.5</v>
      </c>
      <c r="O57" s="70">
        <v>5</v>
      </c>
      <c r="P57" s="70">
        <v>16</v>
      </c>
      <c r="Q57" s="70">
        <v>2</v>
      </c>
      <c r="R57" s="70">
        <v>40</v>
      </c>
      <c r="S57" s="70">
        <v>74</v>
      </c>
      <c r="T57" s="70">
        <v>61</v>
      </c>
      <c r="U57" s="70">
        <v>41</v>
      </c>
      <c r="V57" s="70">
        <v>41</v>
      </c>
      <c r="W57" s="70">
        <v>62</v>
      </c>
      <c r="X57" s="70">
        <v>37</v>
      </c>
      <c r="Z57" s="6" t="s">
        <v>156</v>
      </c>
      <c r="AA57" s="56">
        <f>Forecast!$G6*Forecast!$G7*Data!$D1*(Forecast!$G11*AA33+AA34*Forecast!$G12+Forecast!$G13*AA35+((350000-Forecast!$G15)*0.00000006)+AA58/100)</f>
        <v>26535.728120166328</v>
      </c>
      <c r="AB57" s="56">
        <f>Forecast!$G6*Forecast!$G7*Data!$D1*(Forecast!$G11*AB33+AB34*Forecast!$G12+Forecast!$G13*AB35+((350000-Forecast!$G15)*0.00000006)+AB58/100)</f>
        <v>25571.881576068823</v>
      </c>
      <c r="AC57" s="56">
        <f>Forecast!$G6*Forecast!$G7*Data!$D1*(Forecast!$G11*AC33+AC34*Forecast!$G12+Forecast!$G13*AC35+((350000-Forecast!$G15)*0.00000006)+AC58/100)</f>
        <v>26324.5055686759</v>
      </c>
      <c r="AD57" s="56">
        <f>Forecast!$G6*Forecast!$G7*Data!$D1*(Forecast!$G11*AD33+AD34*Forecast!$G12+Forecast!$G13*AD35+((350000-Forecast!$G15)*0.00000006)+AD58/100)</f>
        <v>26105.01408933706</v>
      </c>
      <c r="AE57" s="56">
        <f>Forecast!$G6*Forecast!$G7*Data!$D1*(Forecast!$G11*AE33+AE34*Forecast!$G12+Forecast!$G13*AE35+((350000-Forecast!$G15)*0.00000006)+AE58/100)</f>
        <v>26496.13132980785</v>
      </c>
      <c r="AF57" s="56">
        <f>Forecast!$G6*Forecast!$G7*Data!$D1*(Forecast!$G11*AF33+AF34*Forecast!$G12+Forecast!$G13*AF35+((350000-Forecast!$G15)*0.00000006)+AF58/100)</f>
        <v>26723.5522263001</v>
      </c>
      <c r="AG57" s="56">
        <f>Forecast!$G6*Forecast!$G7*Data!$D1*(Forecast!$G11*AG33+AG34*Forecast!$G12+Forecast!$G13*AG35+((350000-Forecast!$G15)*0.00000006)+AG58/100)</f>
        <v>26140.586700907308</v>
      </c>
      <c r="AH57" s="56">
        <f>Forecast!$G6*Forecast!$G7*Data!$D1*(Forecast!$G11*AH33+AH34*Forecast!$G12+Forecast!$G13*AH35+((350000-Forecast!$G15)*0.00000006)+AH58/100)</f>
        <v>26178.771143466387</v>
      </c>
      <c r="AI57" s="56">
        <f>Forecast!$G6*Forecast!$G7*Data!$D1*(Forecast!$G11*AI33+AI34*Forecast!$G12+Forecast!$G13*AI35+((350000-Forecast!$G15)*0.00000006)+AI58/100)</f>
        <v>26105.01408933706</v>
      </c>
    </row>
    <row r="58" spans="1:35" ht="12.75">
      <c r="A58" s="9" t="s">
        <v>200</v>
      </c>
      <c r="B58" s="3">
        <f t="shared" si="20"/>
        <v>38961</v>
      </c>
      <c r="C58">
        <f t="shared" si="18"/>
        <v>0</v>
      </c>
      <c r="D58">
        <f t="shared" si="19"/>
        <v>0</v>
      </c>
      <c r="E58">
        <f t="shared" si="8"/>
        <v>9</v>
      </c>
      <c r="M58" t="s">
        <v>122</v>
      </c>
      <c r="N58" s="70">
        <v>29.4</v>
      </c>
      <c r="O58" s="70">
        <v>9</v>
      </c>
      <c r="P58" s="70">
        <v>15</v>
      </c>
      <c r="Q58" s="70">
        <v>3</v>
      </c>
      <c r="R58" s="70">
        <v>44</v>
      </c>
      <c r="S58" s="70">
        <v>76</v>
      </c>
      <c r="T58" s="70">
        <v>62</v>
      </c>
      <c r="U58" s="70">
        <v>44</v>
      </c>
      <c r="V58" s="70">
        <v>37</v>
      </c>
      <c r="W58" s="70">
        <v>63</v>
      </c>
      <c r="X58" s="70">
        <v>38</v>
      </c>
      <c r="AA58" s="56">
        <f>((AA55*Forecast!$G32+Forecast!$G33*Data!AA52+Data!AA48*Forecast!$G34+Forecast!$G35*Data!AA46)-AA48)</f>
        <v>0.19471966370588234</v>
      </c>
      <c r="AB58" s="56">
        <f>((AB55*Forecast!$G32+Forecast!$G33*Data!AB52+Data!AB48*Forecast!$G34+Forecast!$G35*Data!AB46)-AB48)</f>
        <v>0.17203321900763946</v>
      </c>
      <c r="AC58" s="56">
        <f>((AC55*Forecast!$G32+Forecast!$G33*Data!AC52+Data!AC48*Forecast!$G34+Forecast!$G35*Data!AC46)-AC48)</f>
        <v>0.09198889351842077</v>
      </c>
      <c r="AD58" s="56">
        <f>((AD55*Forecast!$G32+Forecast!$G33*Data!AD52+Data!AD48*Forecast!$G34+Forecast!$G35*Data!AD46)-AD48)</f>
        <v>0.11433941004734649</v>
      </c>
      <c r="AE58" s="56">
        <f>((AE55*Forecast!$G32+Forecast!$G33*Data!AE52+Data!AE48*Forecast!$G34+Forecast!$G35*Data!AE46)-AE48)</f>
        <v>0.2954122065616023</v>
      </c>
      <c r="AF58" s="56">
        <f>((AF55*Forecast!$G32+Forecast!$G33*Data!AF52+Data!AF48*Forecast!$G34+Forecast!$G35*Data!AF46)-AF48)</f>
        <v>0.40069965864134716</v>
      </c>
      <c r="AG58" s="56">
        <f>((AG55*Forecast!$G32+Forecast!$G33*Data!AG52+Data!AG48*Forecast!$G34+Forecast!$G35*Data!AG46)-AG48)</f>
        <v>0.1308082117002396</v>
      </c>
      <c r="AH58" s="56">
        <f>((AH55*Forecast!$G32+Forecast!$G33*Data!AH52+Data!AH48*Forecast!$G34+Forecast!$G35*Data!AH46)-AH48)</f>
        <v>0.14848619436648036</v>
      </c>
      <c r="AI58" s="56">
        <f>((AI55*Forecast!$G32+Forecast!$G33*Data!AI52+Data!AI48*Forecast!$G34+Forecast!$G35*Data!AI46)-AI48)</f>
        <v>0.11433941004734649</v>
      </c>
    </row>
    <row r="59" spans="1:19" ht="12.75">
      <c r="A59" s="9" t="s">
        <v>201</v>
      </c>
      <c r="B59" s="3">
        <f t="shared" si="20"/>
        <v>38991</v>
      </c>
      <c r="C59">
        <f t="shared" si="18"/>
        <v>0</v>
      </c>
      <c r="D59">
        <f t="shared" si="19"/>
        <v>0</v>
      </c>
      <c r="E59">
        <f t="shared" si="8"/>
        <v>10</v>
      </c>
      <c r="S59" s="111">
        <f>AVERAGE(S47:S58)</f>
        <v>77.91666666666667</v>
      </c>
    </row>
    <row r="60" spans="1:13" ht="12.75">
      <c r="A60" s="9" t="s">
        <v>202</v>
      </c>
      <c r="B60" s="3">
        <f t="shared" si="20"/>
        <v>39022</v>
      </c>
      <c r="C60">
        <f t="shared" si="18"/>
        <v>0</v>
      </c>
      <c r="D60">
        <f t="shared" si="19"/>
        <v>0</v>
      </c>
      <c r="E60">
        <f t="shared" si="8"/>
        <v>11</v>
      </c>
      <c r="M60" t="s">
        <v>125</v>
      </c>
    </row>
    <row r="61" spans="1:24" ht="12.75">
      <c r="A61" s="9" t="s">
        <v>203</v>
      </c>
      <c r="B61" s="3">
        <f t="shared" si="20"/>
        <v>39052</v>
      </c>
      <c r="C61">
        <f t="shared" si="18"/>
        <v>0</v>
      </c>
      <c r="D61">
        <f t="shared" si="19"/>
        <v>0</v>
      </c>
      <c r="E61">
        <f t="shared" si="8"/>
        <v>12</v>
      </c>
      <c r="N61" s="69" t="s">
        <v>97</v>
      </c>
      <c r="O61" s="69" t="s">
        <v>98</v>
      </c>
      <c r="P61" s="69" t="s">
        <v>99</v>
      </c>
      <c r="Q61" s="69" t="s">
        <v>100</v>
      </c>
      <c r="R61" s="69" t="s">
        <v>101</v>
      </c>
      <c r="S61" s="69" t="s">
        <v>102</v>
      </c>
      <c r="T61" s="69" t="s">
        <v>103</v>
      </c>
      <c r="U61" s="69" t="s">
        <v>104</v>
      </c>
      <c r="V61" s="69" t="s">
        <v>107</v>
      </c>
      <c r="W61" s="69" t="s">
        <v>105</v>
      </c>
      <c r="X61" s="69" t="s">
        <v>106</v>
      </c>
    </row>
    <row r="62" spans="1:26" ht="12.75">
      <c r="A62" s="9" t="s">
        <v>204</v>
      </c>
      <c r="B62" s="3">
        <f t="shared" si="20"/>
        <v>39083</v>
      </c>
      <c r="C62">
        <f t="shared" si="18"/>
        <v>0</v>
      </c>
      <c r="D62">
        <f t="shared" si="19"/>
        <v>0</v>
      </c>
      <c r="E62">
        <f t="shared" si="8"/>
        <v>1</v>
      </c>
      <c r="M62" t="s">
        <v>111</v>
      </c>
      <c r="N62">
        <v>16</v>
      </c>
      <c r="O62">
        <v>10</v>
      </c>
      <c r="P62">
        <v>13</v>
      </c>
      <c r="Q62" s="70">
        <v>3</v>
      </c>
      <c r="R62" s="70">
        <v>10</v>
      </c>
      <c r="S62" s="70">
        <v>2</v>
      </c>
      <c r="T62" s="70">
        <v>13</v>
      </c>
      <c r="U62" s="70">
        <v>17</v>
      </c>
      <c r="V62" s="70">
        <v>30</v>
      </c>
      <c r="W62" s="70">
        <v>21</v>
      </c>
      <c r="X62" s="70">
        <v>31</v>
      </c>
      <c r="Z62" t="s">
        <v>162</v>
      </c>
    </row>
    <row r="63" spans="1:26" ht="12.75">
      <c r="A63" s="9" t="s">
        <v>205</v>
      </c>
      <c r="B63" s="3">
        <f t="shared" si="20"/>
        <v>39114</v>
      </c>
      <c r="C63">
        <f t="shared" si="18"/>
        <v>0</v>
      </c>
      <c r="D63">
        <f t="shared" si="19"/>
        <v>0</v>
      </c>
      <c r="E63">
        <f t="shared" si="8"/>
        <v>2</v>
      </c>
      <c r="M63" t="s">
        <v>112</v>
      </c>
      <c r="N63">
        <v>14</v>
      </c>
      <c r="O63">
        <v>13</v>
      </c>
      <c r="P63">
        <v>11</v>
      </c>
      <c r="Q63" s="70">
        <v>1</v>
      </c>
      <c r="R63" s="70">
        <v>6</v>
      </c>
      <c r="S63" s="70">
        <v>1</v>
      </c>
      <c r="T63" s="70">
        <v>7</v>
      </c>
      <c r="U63" s="70">
        <v>14</v>
      </c>
      <c r="V63" s="70">
        <v>32</v>
      </c>
      <c r="W63" s="70">
        <v>19</v>
      </c>
      <c r="X63" s="70">
        <v>30</v>
      </c>
      <c r="Z63" s="6" t="s">
        <v>38</v>
      </c>
    </row>
    <row r="64" spans="1:35" ht="12.75">
      <c r="A64" s="9" t="s">
        <v>206</v>
      </c>
      <c r="B64" s="3">
        <f t="shared" si="20"/>
        <v>39142</v>
      </c>
      <c r="C64">
        <f t="shared" si="18"/>
        <v>0</v>
      </c>
      <c r="D64">
        <f t="shared" si="19"/>
        <v>0</v>
      </c>
      <c r="E64">
        <f t="shared" si="8"/>
        <v>3</v>
      </c>
      <c r="M64" t="s">
        <v>113</v>
      </c>
      <c r="N64">
        <v>12</v>
      </c>
      <c r="O64">
        <v>18</v>
      </c>
      <c r="P64">
        <v>10</v>
      </c>
      <c r="Q64" s="70">
        <v>3</v>
      </c>
      <c r="R64" s="70">
        <v>7</v>
      </c>
      <c r="S64" s="70">
        <v>1</v>
      </c>
      <c r="T64" s="70">
        <v>5</v>
      </c>
      <c r="U64" s="70">
        <v>9</v>
      </c>
      <c r="V64" s="70">
        <v>34</v>
      </c>
      <c r="W64" s="70">
        <v>22</v>
      </c>
      <c r="X64" s="70">
        <v>30</v>
      </c>
      <c r="Z64" t="s">
        <v>40</v>
      </c>
      <c r="AA64" s="61">
        <f>(IF(Hedge!$D3&gt;0,AA48-Hedge!$H3,0))*2000*Hedge!$D3+Hedge!$F3</f>
        <v>0</v>
      </c>
      <c r="AB64" s="61">
        <f>(IF(Hedge!$D3&gt;0,AB48-Hedge!$H3,0))*2000*Hedge!$D3+Hedge!$F3</f>
        <v>0</v>
      </c>
      <c r="AC64" s="61">
        <f>(IF(Hedge!$D3&gt;0,AC48-Hedge!$H3,0))*2000*Hedge!$D3+Hedge!$F3</f>
        <v>0</v>
      </c>
      <c r="AD64" s="61">
        <f>(IF(Hedge!$D3&gt;0,AD48-Hedge!$H3,0))*2000*Hedge!$D3+Hedge!$F3</f>
        <v>0</v>
      </c>
      <c r="AE64" s="61">
        <f>(IF(Hedge!$D3&gt;0,AE48-Hedge!$H3,0))*2000*Hedge!$D3+Hedge!$F3</f>
        <v>0</v>
      </c>
      <c r="AF64" s="61">
        <f>(IF(Hedge!$D3&gt;0,AF48-Hedge!$H3,0))*2000*Hedge!$D3+Hedge!$F3</f>
        <v>0</v>
      </c>
      <c r="AG64" s="61">
        <f>(IF(Hedge!$D3&gt;0,AG48-Hedge!$H3,0))*2000*Hedge!$D3+Hedge!$F3</f>
        <v>0</v>
      </c>
      <c r="AH64" s="61">
        <f>(IF(Hedge!$D3&gt;0,AH48-Hedge!$H3,0))*2000*Hedge!$D3+Hedge!$F3</f>
        <v>0</v>
      </c>
      <c r="AI64" s="61">
        <f>(IF(Hedge!$D3&gt;0,AI48-Hedge!$H3,0))*2000*Hedge!$D3+Hedge!$F3</f>
        <v>0</v>
      </c>
    </row>
    <row r="65" spans="1:35" ht="12.75">
      <c r="A65" s="9" t="s">
        <v>207</v>
      </c>
      <c r="B65" s="3">
        <f t="shared" si="20"/>
        <v>39173</v>
      </c>
      <c r="C65">
        <f t="shared" si="18"/>
        <v>0</v>
      </c>
      <c r="D65">
        <f t="shared" si="19"/>
        <v>0</v>
      </c>
      <c r="E65">
        <f t="shared" si="8"/>
        <v>4</v>
      </c>
      <c r="M65" t="s">
        <v>114</v>
      </c>
      <c r="N65">
        <v>13</v>
      </c>
      <c r="O65">
        <v>16</v>
      </c>
      <c r="P65">
        <v>14</v>
      </c>
      <c r="Q65" s="70">
        <v>8</v>
      </c>
      <c r="R65" s="70">
        <v>10</v>
      </c>
      <c r="S65" s="70">
        <v>1</v>
      </c>
      <c r="T65" s="70">
        <v>4</v>
      </c>
      <c r="U65" s="70">
        <v>5</v>
      </c>
      <c r="V65" s="70">
        <v>38</v>
      </c>
      <c r="W65" s="70">
        <v>15</v>
      </c>
      <c r="X65" s="70">
        <v>33</v>
      </c>
      <c r="Z65" t="s">
        <v>39</v>
      </c>
      <c r="AA65" s="61">
        <f>(IF(Hedge!$D4&gt;0,Hedge!$H4-AA48,0))*2000*Hedge!$D4+Hedge!$F3</f>
        <v>0</v>
      </c>
      <c r="AB65" s="61">
        <f>(IF(Hedge!$D4&gt;0,Hedge!$H4-AB48,0))*2000*Hedge!$D4+Hedge!$F3</f>
        <v>0</v>
      </c>
      <c r="AC65" s="61">
        <f>(IF(Hedge!$D4&gt;0,Hedge!$H4-AC48,0))*2000*Hedge!$D4+Hedge!$F3</f>
        <v>0</v>
      </c>
      <c r="AD65" s="61">
        <f>(IF(Hedge!$D4&gt;0,Hedge!$H4-AD48,0))*2000*Hedge!$D4+Hedge!$F3</f>
        <v>0</v>
      </c>
      <c r="AE65" s="61">
        <f>(IF(Hedge!$D4&gt;0,Hedge!$H4-AE48,0))*2000*Hedge!$D4+Hedge!$F3</f>
        <v>0</v>
      </c>
      <c r="AF65" s="61">
        <f>(IF(Hedge!$D4&gt;0,Hedge!$H4-AF48,0))*2000*Hedge!$D4+Hedge!$F3</f>
        <v>0</v>
      </c>
      <c r="AG65" s="61">
        <f>(IF(Hedge!$D4&gt;0,Hedge!$H4-AG48,0))*2000*Hedge!$D4+Hedge!$F3</f>
        <v>0</v>
      </c>
      <c r="AH65" s="61">
        <f>(IF(Hedge!$D4&gt;0,Hedge!$H4-AH48,0))*2000*Hedge!$D4+Hedge!$F3</f>
        <v>0</v>
      </c>
      <c r="AI65" s="61">
        <f>(IF(Hedge!$D4&gt;0,Hedge!$H4-AI48,0))*2000*Hedge!$D4+Hedge!$F3</f>
        <v>0</v>
      </c>
    </row>
    <row r="66" spans="1:24" ht="12.75">
      <c r="A66" s="9" t="s">
        <v>208</v>
      </c>
      <c r="B66" s="3">
        <f t="shared" si="20"/>
        <v>39203</v>
      </c>
      <c r="C66">
        <f t="shared" si="18"/>
        <v>0</v>
      </c>
      <c r="D66">
        <f t="shared" si="19"/>
        <v>0</v>
      </c>
      <c r="E66">
        <f t="shared" si="8"/>
        <v>5</v>
      </c>
      <c r="M66" t="s">
        <v>115</v>
      </c>
      <c r="N66">
        <v>12</v>
      </c>
      <c r="O66">
        <v>11</v>
      </c>
      <c r="P66">
        <v>9</v>
      </c>
      <c r="Q66" s="70">
        <v>6</v>
      </c>
      <c r="R66" s="70">
        <v>8</v>
      </c>
      <c r="S66" s="70">
        <v>4</v>
      </c>
      <c r="T66" s="70">
        <v>2</v>
      </c>
      <c r="U66" s="70">
        <v>5</v>
      </c>
      <c r="V66" s="70">
        <v>36</v>
      </c>
      <c r="W66" s="70">
        <v>6</v>
      </c>
      <c r="X66" s="70">
        <v>16</v>
      </c>
    </row>
    <row r="67" spans="1:35" ht="12.75">
      <c r="A67" s="9" t="s">
        <v>209</v>
      </c>
      <c r="B67" s="3">
        <f t="shared" si="20"/>
        <v>39234</v>
      </c>
      <c r="C67">
        <f t="shared" si="18"/>
        <v>0</v>
      </c>
      <c r="D67">
        <f t="shared" si="19"/>
        <v>0</v>
      </c>
      <c r="E67">
        <f t="shared" si="8"/>
        <v>6</v>
      </c>
      <c r="M67" t="s">
        <v>116</v>
      </c>
      <c r="N67">
        <v>10</v>
      </c>
      <c r="O67">
        <v>11</v>
      </c>
      <c r="P67">
        <v>4</v>
      </c>
      <c r="Q67" s="70">
        <v>1</v>
      </c>
      <c r="R67" s="70">
        <v>7</v>
      </c>
      <c r="S67" s="70">
        <v>4</v>
      </c>
      <c r="T67" s="70">
        <v>1</v>
      </c>
      <c r="U67" s="70">
        <v>1</v>
      </c>
      <c r="V67" s="70">
        <v>33</v>
      </c>
      <c r="W67" s="70">
        <v>4</v>
      </c>
      <c r="X67" s="70">
        <v>17</v>
      </c>
      <c r="Z67" t="s">
        <v>41</v>
      </c>
      <c r="AA67" s="61">
        <f>IF(Hedge!$D6&gt;0,IF(Hedge!$H6&lt;AA48,AA48-Hedge!$H6,0),0)*2000*Hedge!$D6+Hedge!$F6</f>
        <v>0</v>
      </c>
      <c r="AB67" s="61">
        <f>IF(Hedge!$D6&gt;0,IF(Hedge!$H6&lt;AB48,AB48-Hedge!$H6,0),0)*2000*Hedge!$D6+Hedge!$F6</f>
        <v>0</v>
      </c>
      <c r="AC67" s="61">
        <f>IF(Hedge!$D6&gt;0,IF(Hedge!$H6&lt;AC48,AC48-Hedge!$H6,0),0)*2000*Hedge!$D6+Hedge!$F6</f>
        <v>0</v>
      </c>
      <c r="AD67" s="61">
        <f>IF(Hedge!$D6&gt;0,IF(Hedge!$H6&lt;AD48,AD48-Hedge!$H6,0),0)*2000*Hedge!$D6+Hedge!$F6</f>
        <v>0</v>
      </c>
      <c r="AE67" s="61">
        <f>IF(Hedge!$D6&gt;0,IF(Hedge!$H6&lt;AE48,AE48-Hedge!$H6,0),0)*2000*Hedge!$D6+Hedge!$F6</f>
        <v>0</v>
      </c>
      <c r="AF67" s="61">
        <f>IF(Hedge!$D6&gt;0,IF(Hedge!$H6&lt;AF48,AF48-Hedge!$H6,0),0)*2000*Hedge!$D6+Hedge!$F6</f>
        <v>0</v>
      </c>
      <c r="AG67" s="61">
        <f>IF(Hedge!$D6&gt;0,IF(Hedge!$H6&lt;AG48,AG48-Hedge!$H6,0),0)*2000*Hedge!$D6+Hedge!$F6</f>
        <v>0</v>
      </c>
      <c r="AH67" s="61">
        <f>IF(Hedge!$D6&gt;0,IF(Hedge!$H6&lt;AH48,AH48-Hedge!$H6,0),0)*2000*Hedge!$D6+Hedge!$F6</f>
        <v>0</v>
      </c>
      <c r="AI67" s="61">
        <f>IF(Hedge!$D6&gt;0,IF(Hedge!$H6&lt;AI48,AI48-Hedge!$H6,0),0)*2000*Hedge!$D6+Hedge!$F6</f>
        <v>0</v>
      </c>
    </row>
    <row r="68" spans="1:35" ht="12.75">
      <c r="A68" s="9" t="s">
        <v>210</v>
      </c>
      <c r="B68" s="3">
        <f t="shared" si="20"/>
        <v>39264</v>
      </c>
      <c r="C68">
        <f t="shared" si="18"/>
        <v>0</v>
      </c>
      <c r="D68">
        <f t="shared" si="19"/>
        <v>0</v>
      </c>
      <c r="E68">
        <f t="shared" si="8"/>
        <v>7</v>
      </c>
      <c r="M68" t="s">
        <v>117</v>
      </c>
      <c r="N68">
        <v>10</v>
      </c>
      <c r="O68">
        <v>9</v>
      </c>
      <c r="P68">
        <v>5</v>
      </c>
      <c r="Q68" s="70">
        <v>2</v>
      </c>
      <c r="R68" s="70">
        <v>8</v>
      </c>
      <c r="S68" s="70">
        <v>1</v>
      </c>
      <c r="T68" s="70">
        <v>2</v>
      </c>
      <c r="U68" s="70">
        <v>10</v>
      </c>
      <c r="V68" s="70">
        <v>32</v>
      </c>
      <c r="W68" s="70">
        <v>6</v>
      </c>
      <c r="X68" s="70">
        <v>34</v>
      </c>
      <c r="Z68" t="s">
        <v>42</v>
      </c>
      <c r="AA68" s="61">
        <f>IF(Hedge!$D7&gt;0,IF(Hedge!$H7&lt;AA48,Hedge!$H7-AA48,0),0)*2000*Hedge!$D7+Hedge!$F7</f>
        <v>0</v>
      </c>
      <c r="AB68" s="61">
        <f>IF(Hedge!$D7&gt;0,IF(Hedge!$H7&lt;AB48,Hedge!$H7-AB48,0),0)*2000*Hedge!$D7+Hedge!$F7</f>
        <v>0</v>
      </c>
      <c r="AC68" s="61">
        <f>IF(Hedge!$D7&gt;0,IF(Hedge!$H7&lt;AC48,Hedge!$H7-AC48,0),0)*2000*Hedge!$D7+Hedge!$F7</f>
        <v>0</v>
      </c>
      <c r="AD68" s="61">
        <f>IF(Hedge!$D7&gt;0,IF(Hedge!$H7&lt;AD48,Hedge!$H7-AD48,0),0)*2000*Hedge!$D7+Hedge!$F7</f>
        <v>0</v>
      </c>
      <c r="AE68" s="61">
        <f>IF(Hedge!$D7&gt;0,IF(Hedge!$H7&lt;AE48,Hedge!$H7-AE48,0),0)*2000*Hedge!$D7+Hedge!$F7</f>
        <v>0</v>
      </c>
      <c r="AF68" s="61">
        <f>IF(Hedge!$D7&gt;0,IF(Hedge!$H7&lt;AF48,Hedge!$H7-AF48,0),0)*2000*Hedge!$D7+Hedge!$F7</f>
        <v>0</v>
      </c>
      <c r="AG68" s="61">
        <f>IF(Hedge!$D7&gt;0,IF(Hedge!$H7&lt;AG48,Hedge!$H7-AG48,0),0)*2000*Hedge!$D7+Hedge!$F7</f>
        <v>0</v>
      </c>
      <c r="AH68" s="61">
        <f>IF(Hedge!$D7&gt;0,IF(Hedge!$H7&lt;AH48,Hedge!$H7-AH48,0),0)*2000*Hedge!$D7+Hedge!$F7</f>
        <v>0</v>
      </c>
      <c r="AI68" s="61">
        <f>IF(Hedge!$D7&gt;0,IF(Hedge!$H7&lt;AI48,Hedge!$H7-AI48,0),0)*2000*Hedge!$D7+Hedge!$F7</f>
        <v>0</v>
      </c>
    </row>
    <row r="69" spans="1:35" ht="12.75">
      <c r="A69" s="9" t="s">
        <v>211</v>
      </c>
      <c r="B69" s="3">
        <f t="shared" si="20"/>
        <v>39295</v>
      </c>
      <c r="C69">
        <f t="shared" si="18"/>
        <v>0</v>
      </c>
      <c r="D69">
        <f t="shared" si="19"/>
        <v>0</v>
      </c>
      <c r="E69">
        <f t="shared" si="8"/>
        <v>8</v>
      </c>
      <c r="M69" t="s">
        <v>118</v>
      </c>
      <c r="N69" s="70">
        <f aca="true" t="shared" si="32" ref="N69:X73">100-N24-N39-N54</f>
        <v>4.5</v>
      </c>
      <c r="O69" s="70">
        <f t="shared" si="32"/>
        <v>5</v>
      </c>
      <c r="P69" s="70">
        <f t="shared" si="32"/>
        <v>3</v>
      </c>
      <c r="Q69" s="70">
        <f t="shared" si="32"/>
        <v>1</v>
      </c>
      <c r="R69" s="70">
        <f t="shared" si="32"/>
        <v>4</v>
      </c>
      <c r="S69" s="70">
        <f t="shared" si="32"/>
        <v>0</v>
      </c>
      <c r="T69" s="70">
        <f t="shared" si="32"/>
        <v>2</v>
      </c>
      <c r="U69" s="70">
        <f t="shared" si="32"/>
        <v>6</v>
      </c>
      <c r="V69" s="70">
        <f t="shared" si="32"/>
        <v>21</v>
      </c>
      <c r="W69" s="70">
        <f t="shared" si="32"/>
        <v>2</v>
      </c>
      <c r="X69" s="70">
        <f t="shared" si="32"/>
        <v>31</v>
      </c>
      <c r="AA69" s="61"/>
      <c r="AB69" s="61"/>
      <c r="AC69" s="61"/>
      <c r="AD69" s="61"/>
      <c r="AE69" s="61"/>
      <c r="AF69" s="61"/>
      <c r="AG69" s="61"/>
      <c r="AH69" s="61"/>
      <c r="AI69" s="61"/>
    </row>
    <row r="70" spans="1:35" ht="12.75">
      <c r="A70" s="9" t="s">
        <v>212</v>
      </c>
      <c r="B70" s="3">
        <f t="shared" si="20"/>
        <v>39326</v>
      </c>
      <c r="C70">
        <f t="shared" si="18"/>
        <v>0</v>
      </c>
      <c r="D70">
        <f t="shared" si="19"/>
        <v>0</v>
      </c>
      <c r="E70">
        <f t="shared" si="8"/>
        <v>9</v>
      </c>
      <c r="M70" t="s">
        <v>119</v>
      </c>
      <c r="N70" s="70">
        <f t="shared" si="32"/>
        <v>4.100000000000005</v>
      </c>
      <c r="O70" s="70">
        <f t="shared" si="32"/>
        <v>5</v>
      </c>
      <c r="P70" s="70">
        <f t="shared" si="32"/>
        <v>3</v>
      </c>
      <c r="Q70" s="70">
        <f t="shared" si="32"/>
        <v>1</v>
      </c>
      <c r="R70" s="70">
        <f t="shared" si="32"/>
        <v>4</v>
      </c>
      <c r="S70" s="70">
        <f t="shared" si="32"/>
        <v>1</v>
      </c>
      <c r="T70" s="70">
        <f t="shared" si="32"/>
        <v>3</v>
      </c>
      <c r="U70" s="70">
        <f t="shared" si="32"/>
        <v>6</v>
      </c>
      <c r="V70" s="70">
        <f t="shared" si="32"/>
        <v>15</v>
      </c>
      <c r="W70" s="70">
        <f t="shared" si="32"/>
        <v>2</v>
      </c>
      <c r="X70" s="70">
        <f t="shared" si="32"/>
        <v>28</v>
      </c>
      <c r="Z70" t="s">
        <v>43</v>
      </c>
      <c r="AA70" s="61">
        <f>IF(Hedge!$D9&gt;0,IF(Hedge!$H9&gt;AA48,AA48-Hedge!$H9,0),0)*2000*Hedge!$D9+Hedge!$F9</f>
        <v>0</v>
      </c>
      <c r="AB70" s="61">
        <f>IF(Hedge!$D9&gt;0,IF(Hedge!$H9&gt;AB48,AB48-Hedge!$H9,0),0)*2000*Hedge!$D9+Hedge!$F9</f>
        <v>0</v>
      </c>
      <c r="AC70" s="61">
        <f>IF(Hedge!$D9&gt;0,IF(Hedge!$H9&gt;AC48,AC48-Hedge!$H9,0),0)*2000*Hedge!$D9+Hedge!$F9</f>
        <v>0</v>
      </c>
      <c r="AD70" s="61">
        <f>IF(Hedge!$D9&gt;0,IF(Hedge!$H9&gt;AD48,AD48-Hedge!$H9,0),0)*2000*Hedge!$D9+Hedge!$F9</f>
        <v>0</v>
      </c>
      <c r="AE70" s="61">
        <f>IF(Hedge!$D9&gt;0,IF(Hedge!$H9&gt;AE48,AE48-Hedge!$H9,0),0)*2000*Hedge!$D9+Hedge!$F9</f>
        <v>0</v>
      </c>
      <c r="AF70" s="61">
        <f>IF(Hedge!$D9&gt;0,IF(Hedge!$H9&gt;AF48,AF48-Hedge!$H9,0),0)*2000*Hedge!$D9+Hedge!$F9</f>
        <v>0</v>
      </c>
      <c r="AG70" s="61">
        <f>IF(Hedge!$D9&gt;0,IF(Hedge!$H9&gt;AG48,AG48-Hedge!$H9,0),0)*2000*Hedge!$D9+Hedge!$F9</f>
        <v>0</v>
      </c>
      <c r="AH70" s="61">
        <f>IF(Hedge!$D9&gt;0,IF(Hedge!$H9&gt;AH48,AH48-Hedge!$H9,0),0)*2000*Hedge!$D9+Hedge!$F9</f>
        <v>0</v>
      </c>
      <c r="AI70" s="61">
        <f>IF(Hedge!$D9&gt;0,IF(Hedge!$H9&gt;AI48,AI48-Hedge!$H9,0),0)*2000*Hedge!$D9+Hedge!$F9</f>
        <v>0</v>
      </c>
    </row>
    <row r="71" spans="1:35" ht="12.75">
      <c r="A71" s="9" t="s">
        <v>213</v>
      </c>
      <c r="B71" s="3">
        <f t="shared" si="20"/>
        <v>39356</v>
      </c>
      <c r="C71">
        <f t="shared" si="18"/>
        <v>0</v>
      </c>
      <c r="D71">
        <f t="shared" si="19"/>
        <v>0</v>
      </c>
      <c r="E71">
        <f t="shared" si="8"/>
        <v>10</v>
      </c>
      <c r="M71" t="s">
        <v>120</v>
      </c>
      <c r="N71" s="70">
        <f t="shared" si="32"/>
        <v>4.5</v>
      </c>
      <c r="O71" s="70">
        <f t="shared" si="32"/>
        <v>7</v>
      </c>
      <c r="P71" s="70">
        <f t="shared" si="32"/>
        <v>7</v>
      </c>
      <c r="Q71" s="70">
        <f t="shared" si="32"/>
        <v>2</v>
      </c>
      <c r="R71" s="70">
        <f t="shared" si="32"/>
        <v>6</v>
      </c>
      <c r="S71" s="70">
        <f t="shared" si="32"/>
        <v>1</v>
      </c>
      <c r="T71" s="70">
        <f t="shared" si="32"/>
        <v>3</v>
      </c>
      <c r="U71" s="70">
        <f t="shared" si="32"/>
        <v>8</v>
      </c>
      <c r="V71" s="70">
        <f t="shared" si="32"/>
        <v>14</v>
      </c>
      <c r="W71" s="70">
        <f t="shared" si="32"/>
        <v>1</v>
      </c>
      <c r="X71" s="70">
        <f t="shared" si="32"/>
        <v>29</v>
      </c>
      <c r="Z71" t="s">
        <v>44</v>
      </c>
      <c r="AA71" s="61">
        <f>IF(Hedge!$D10&gt;0,IF(Hedge!$H10&gt;AA48,Hedge!$H10-AA48,0),0)*2000*Hedge!$D10+Hedge!$F10</f>
        <v>0</v>
      </c>
      <c r="AB71" s="61">
        <f>IF(Hedge!$D10&gt;0,IF(Hedge!$H10&gt;AB48,Hedge!$H10-AB48,0),0)*2000*Hedge!$D10+Hedge!$F10</f>
        <v>0</v>
      </c>
      <c r="AC71" s="61">
        <f>IF(Hedge!$D10&gt;0,IF(Hedge!$H10&gt;AC48,Hedge!$H10-AC48,0),0)*2000*Hedge!$D10+Hedge!$F10</f>
        <v>0</v>
      </c>
      <c r="AD71" s="61">
        <f>IF(Hedge!$D10&gt;0,IF(Hedge!$H10&gt;AD48,Hedge!$H10-AD48,0),0)*2000*Hedge!$D10+Hedge!$F10</f>
        <v>0</v>
      </c>
      <c r="AE71" s="61">
        <f>IF(Hedge!$D10&gt;0,IF(Hedge!$H10&gt;AE48,Hedge!$H10-AE48,0),0)*2000*Hedge!$D10+Hedge!$F10</f>
        <v>0</v>
      </c>
      <c r="AF71" s="61">
        <f>IF(Hedge!$D10&gt;0,IF(Hedge!$H10&gt;AF48,Hedge!$H10-AF48,0),0)*2000*Hedge!$D10+Hedge!$F10</f>
        <v>0</v>
      </c>
      <c r="AG71" s="61">
        <f>IF(Hedge!$D10&gt;0,IF(Hedge!$H10&gt;AG48,Hedge!$H10-AG48,0),0)*2000*Hedge!$D10+Hedge!$F10</f>
        <v>0</v>
      </c>
      <c r="AH71" s="61">
        <f>IF(Hedge!$D10&gt;0,IF(Hedge!$H10&gt;AH48,Hedge!$H10-AH48,0),0)*2000*Hedge!$D10+Hedge!$F10</f>
        <v>0</v>
      </c>
      <c r="AI71" s="61">
        <f>IF(Hedge!$D10&gt;0,IF(Hedge!$H10&gt;AI48,Hedge!$H10-AI48,0),0)*2000*Hedge!$D10+Hedge!$F10</f>
        <v>0</v>
      </c>
    </row>
    <row r="72" spans="1:24" ht="12.75">
      <c r="A72" s="9" t="s">
        <v>214</v>
      </c>
      <c r="B72" s="3">
        <f t="shared" si="20"/>
        <v>39387</v>
      </c>
      <c r="C72">
        <f t="shared" si="18"/>
        <v>0</v>
      </c>
      <c r="D72">
        <f t="shared" si="19"/>
        <v>0</v>
      </c>
      <c r="E72">
        <f t="shared" si="8"/>
        <v>11</v>
      </c>
      <c r="M72" t="s">
        <v>121</v>
      </c>
      <c r="N72" s="70">
        <f t="shared" si="32"/>
        <v>5.199999999999996</v>
      </c>
      <c r="O72" s="70">
        <f t="shared" si="32"/>
        <v>7</v>
      </c>
      <c r="P72" s="70">
        <f t="shared" si="32"/>
        <v>5</v>
      </c>
      <c r="Q72" s="70">
        <f t="shared" si="32"/>
        <v>2</v>
      </c>
      <c r="R72" s="70">
        <f t="shared" si="32"/>
        <v>3</v>
      </c>
      <c r="S72" s="70">
        <f t="shared" si="32"/>
        <v>1</v>
      </c>
      <c r="T72" s="70">
        <f t="shared" si="32"/>
        <v>3</v>
      </c>
      <c r="U72" s="70">
        <f t="shared" si="32"/>
        <v>1</v>
      </c>
      <c r="V72" s="70">
        <f t="shared" si="32"/>
        <v>17</v>
      </c>
      <c r="W72" s="70">
        <f t="shared" si="32"/>
        <v>1</v>
      </c>
      <c r="X72" s="70">
        <f t="shared" si="32"/>
        <v>22</v>
      </c>
    </row>
    <row r="73" spans="1:27" ht="12.75">
      <c r="A73" s="9" t="s">
        <v>215</v>
      </c>
      <c r="B73" s="3">
        <f t="shared" si="20"/>
        <v>39417</v>
      </c>
      <c r="C73">
        <f t="shared" si="18"/>
        <v>0</v>
      </c>
      <c r="D73">
        <f t="shared" si="19"/>
        <v>0</v>
      </c>
      <c r="E73">
        <f t="shared" si="8"/>
        <v>12</v>
      </c>
      <c r="M73" t="s">
        <v>122</v>
      </c>
      <c r="N73" s="70">
        <f t="shared" si="32"/>
        <v>8.600000000000001</v>
      </c>
      <c r="O73" s="70">
        <f t="shared" si="32"/>
        <v>13</v>
      </c>
      <c r="P73" s="70">
        <f t="shared" si="32"/>
        <v>10</v>
      </c>
      <c r="Q73" s="70">
        <f t="shared" si="32"/>
        <v>4</v>
      </c>
      <c r="R73" s="70">
        <f t="shared" si="32"/>
        <v>3</v>
      </c>
      <c r="S73" s="70">
        <f t="shared" si="32"/>
        <v>1</v>
      </c>
      <c r="T73" s="70">
        <f t="shared" si="32"/>
        <v>2</v>
      </c>
      <c r="U73" s="70">
        <f t="shared" si="32"/>
        <v>2</v>
      </c>
      <c r="V73" s="70">
        <f t="shared" si="32"/>
        <v>27</v>
      </c>
      <c r="W73" s="70">
        <f t="shared" si="32"/>
        <v>2</v>
      </c>
      <c r="X73" s="70">
        <f t="shared" si="32"/>
        <v>24</v>
      </c>
      <c r="Z73" s="6" t="s">
        <v>45</v>
      </c>
      <c r="AA73" s="61"/>
    </row>
    <row r="74" spans="1:35" ht="12.75">
      <c r="A74" s="9" t="s">
        <v>216</v>
      </c>
      <c r="B74" s="3">
        <f t="shared" si="20"/>
        <v>39448</v>
      </c>
      <c r="C74">
        <f t="shared" si="18"/>
        <v>0</v>
      </c>
      <c r="D74">
        <f t="shared" si="19"/>
        <v>0</v>
      </c>
      <c r="E74">
        <f t="shared" si="8"/>
        <v>1</v>
      </c>
      <c r="S74" s="55">
        <f>AVERAGE(S62:S73)</f>
        <v>1.5</v>
      </c>
      <c r="Z74" t="s">
        <v>40</v>
      </c>
      <c r="AA74" s="61">
        <f>((IF(Hedge!$D13&gt;0,AA46-Hedge!$H13,0))*2000*Hedge!$D13)+Hedge!$F13</f>
        <v>0</v>
      </c>
      <c r="AB74" s="61">
        <f>((IF(Hedge!$D13&gt;0,AB46-Hedge!$H13,0))*2000*Hedge!$D13)+Hedge!$F13</f>
        <v>0</v>
      </c>
      <c r="AC74" s="61">
        <f>((IF(Hedge!$D13&gt;0,AC46-Hedge!$H13,0))*2000*Hedge!$D13)+Hedge!$F13</f>
        <v>0</v>
      </c>
      <c r="AD74" s="61">
        <f>((IF(Hedge!$D13&gt;0,AD46-Hedge!$H13,0))*2000*Hedge!$D13)+Hedge!$F13</f>
        <v>0</v>
      </c>
      <c r="AE74" s="61">
        <f>((IF(Hedge!$D13&gt;0,AE46-Hedge!$H13,0))*2000*Hedge!$D13)+Hedge!$F13</f>
        <v>0</v>
      </c>
      <c r="AF74" s="61">
        <f>((IF(Hedge!$D13&gt;0,AF46-Hedge!$H13,0))*2000*Hedge!$D13)+Hedge!$F13</f>
        <v>0</v>
      </c>
      <c r="AG74" s="61">
        <f>((IF(Hedge!$D13&gt;0,AG46-Hedge!$H13,0))*2000*Hedge!$D13)+Hedge!$F13</f>
        <v>0</v>
      </c>
      <c r="AH74" s="61">
        <f>((IF(Hedge!$D13&gt;0,AH46-Hedge!$H13,0))*2000*Hedge!$D13)+Hedge!$F13</f>
        <v>0</v>
      </c>
      <c r="AI74" s="61">
        <f>((IF(Hedge!$D13&gt;0,AI46-Hedge!$H13,0))*2000*Hedge!$D13)+Hedge!$F13</f>
        <v>0</v>
      </c>
    </row>
    <row r="75" spans="1:35" ht="12.75">
      <c r="A75" s="9" t="s">
        <v>217</v>
      </c>
      <c r="B75" s="3">
        <f t="shared" si="20"/>
        <v>39479</v>
      </c>
      <c r="C75">
        <f t="shared" si="18"/>
        <v>0</v>
      </c>
      <c r="D75">
        <f t="shared" si="19"/>
        <v>0</v>
      </c>
      <c r="E75">
        <f t="shared" si="8"/>
        <v>2</v>
      </c>
      <c r="Z75" t="s">
        <v>39</v>
      </c>
      <c r="AA75" s="61">
        <f>((IF(Hedge!$D14&gt;0,Hedge!$H14-AA46,0))*2000*Hedge!$D14)+Hedge!$F14</f>
        <v>0</v>
      </c>
      <c r="AB75" s="61">
        <f>((IF(Hedge!$D14&gt;0,Hedge!$H14-AB46,0))*2000*Hedge!$D14)+Hedge!$F14</f>
        <v>0</v>
      </c>
      <c r="AC75" s="61">
        <f>((IF(Hedge!$D14&gt;0,Hedge!$H14-AC46,0))*2000*Hedge!$D14)+Hedge!$F14</f>
        <v>0</v>
      </c>
      <c r="AD75" s="61">
        <f>((IF(Hedge!$D14&gt;0,Hedge!$H14-AD46,0))*2000*Hedge!$D14)+Hedge!$F14</f>
        <v>0</v>
      </c>
      <c r="AE75" s="61">
        <f>((IF(Hedge!$D14&gt;0,Hedge!$H14-AE46,0))*2000*Hedge!$D14)+Hedge!$F14</f>
        <v>0</v>
      </c>
      <c r="AF75" s="61">
        <f>((IF(Hedge!$D14&gt;0,Hedge!$H14-AF46,0))*2000*Hedge!$D14)+Hedge!$F14</f>
        <v>0</v>
      </c>
      <c r="AG75" s="61">
        <f>((IF(Hedge!$D14&gt;0,Hedge!$H14-AG46,0))*2000*Hedge!$D14)+Hedge!$F14</f>
        <v>0</v>
      </c>
      <c r="AH75" s="61">
        <f>((IF(Hedge!$D14&gt;0,Hedge!$H14-AH46,0))*2000*Hedge!$D14)+Hedge!$F14</f>
        <v>0</v>
      </c>
      <c r="AI75" s="61">
        <f>((IF(Hedge!$D14&gt;0,Hedge!$H14-AI46,0))*2000*Hedge!$D14)+Hedge!$F14</f>
        <v>0</v>
      </c>
    </row>
    <row r="76" spans="1:5" ht="12.75">
      <c r="A76" s="9" t="s">
        <v>218</v>
      </c>
      <c r="B76" s="3">
        <f t="shared" si="20"/>
        <v>39508</v>
      </c>
      <c r="C76">
        <f t="shared" si="18"/>
        <v>0</v>
      </c>
      <c r="D76">
        <f t="shared" si="19"/>
        <v>0</v>
      </c>
      <c r="E76">
        <f t="shared" si="8"/>
        <v>3</v>
      </c>
    </row>
    <row r="77" spans="1:35" ht="12.75">
      <c r="A77" s="9" t="s">
        <v>219</v>
      </c>
      <c r="B77" s="3">
        <f t="shared" si="20"/>
        <v>39539</v>
      </c>
      <c r="C77">
        <f t="shared" si="18"/>
        <v>0</v>
      </c>
      <c r="D77">
        <f t="shared" si="19"/>
        <v>0</v>
      </c>
      <c r="E77">
        <f t="shared" si="8"/>
        <v>4</v>
      </c>
      <c r="Z77" t="s">
        <v>41</v>
      </c>
      <c r="AA77" s="61">
        <f>IF(Hedge!$D16&gt;0,IF(Hedge!$H16&lt;AA46,AA46-Hedge!$H16,0),0)*2000*Hedge!$D16+Hedge!$F16</f>
        <v>0</v>
      </c>
      <c r="AB77" s="61">
        <f>IF(Hedge!$D16&gt;0,IF(Hedge!$H16&lt;AB46,AB46-Hedge!$H16,0),0)*2000*Hedge!$D16+Hedge!$F16</f>
        <v>0</v>
      </c>
      <c r="AC77" s="61">
        <f>IF(Hedge!$D16&gt;0,IF(Hedge!$H16&lt;AC46,AC46-Hedge!$H16,0),0)*2000*Hedge!$D16+Hedge!$F16</f>
        <v>0</v>
      </c>
      <c r="AD77" s="61">
        <f>IF(Hedge!$D16&gt;0,IF(Hedge!$H16&lt;AD46,AD46-Hedge!$H16,0),0)*2000*Hedge!$D16+Hedge!$F16</f>
        <v>0</v>
      </c>
      <c r="AE77" s="61">
        <f>IF(Hedge!$D16&gt;0,IF(Hedge!$H16&lt;AE46,AE46-Hedge!$H16,0),0)*2000*Hedge!$D16+Hedge!$F16</f>
        <v>0</v>
      </c>
      <c r="AF77" s="61">
        <f>IF(Hedge!$D16&gt;0,IF(Hedge!$H16&lt;AF46,AF46-Hedge!$H16,0),0)*2000*Hedge!$D16+Hedge!$F16</f>
        <v>0</v>
      </c>
      <c r="AG77" s="61">
        <f>IF(Hedge!$D16&gt;0,IF(Hedge!$H16&lt;AG46,AG46-Hedge!$H16,0),0)*2000*Hedge!$D16+Hedge!$F16</f>
        <v>0</v>
      </c>
      <c r="AH77" s="61">
        <f>IF(Hedge!$D16&gt;0,IF(Hedge!$H16&lt;AH46,AH46-Hedge!$H16,0),0)*2000*Hedge!$D16+Hedge!$F16</f>
        <v>0</v>
      </c>
      <c r="AI77" s="61">
        <f>IF(Hedge!$D16&gt;0,IF(Hedge!$H16&lt;AI46,AI46-Hedge!$H16,0),0)*2000*Hedge!$D16+Hedge!$F16</f>
        <v>0</v>
      </c>
    </row>
    <row r="78" spans="1:35" ht="12.75">
      <c r="A78" s="9" t="s">
        <v>220</v>
      </c>
      <c r="B78" s="3">
        <f t="shared" si="20"/>
        <v>39569</v>
      </c>
      <c r="C78">
        <f t="shared" si="18"/>
        <v>0</v>
      </c>
      <c r="D78">
        <f t="shared" si="19"/>
        <v>0</v>
      </c>
      <c r="E78">
        <f t="shared" si="8"/>
        <v>5</v>
      </c>
      <c r="Z78" t="s">
        <v>42</v>
      </c>
      <c r="AA78" s="61">
        <f>IF(Hedge!$D17&gt;0,IF(Hedge!$H17&lt;AA46,Hedge!$H17-AA46,0),0)*2000*Hedge!$D17+Hedge!$F17</f>
        <v>0</v>
      </c>
      <c r="AB78" s="61">
        <f>IF(Hedge!$D17&gt;0,IF(Hedge!$H17&lt;AB46,Hedge!$H17-AB46,0),0)*2000*Hedge!$D17+Hedge!$F17</f>
        <v>0</v>
      </c>
      <c r="AC78" s="61">
        <f>IF(Hedge!$D17&gt;0,IF(Hedge!$H17&lt;AC46,Hedge!$H17-AC46,0),0)*2000*Hedge!$D17+Hedge!$F17</f>
        <v>0</v>
      </c>
      <c r="AD78" s="61">
        <f>IF(Hedge!$D17&gt;0,IF(Hedge!$H17&lt;AD46,Hedge!$H17-AD46,0),0)*2000*Hedge!$D17+Hedge!$F17</f>
        <v>0</v>
      </c>
      <c r="AE78" s="61">
        <f>IF(Hedge!$D17&gt;0,IF(Hedge!$H17&lt;AE46,Hedge!$H17-AE46,0),0)*2000*Hedge!$D17+Hedge!$F17</f>
        <v>0</v>
      </c>
      <c r="AF78" s="61">
        <f>IF(Hedge!$D17&gt;0,IF(Hedge!$H17&lt;AF46,Hedge!$H17-AF46,0),0)*2000*Hedge!$D17+Hedge!$F17</f>
        <v>0</v>
      </c>
      <c r="AG78" s="61">
        <f>IF(Hedge!$D17&gt;0,IF(Hedge!$H17&lt;AG46,Hedge!$H17-AG46,0),0)*2000*Hedge!$D17+Hedge!$F17</f>
        <v>0</v>
      </c>
      <c r="AH78" s="61">
        <f>IF(Hedge!$D17&gt;0,IF(Hedge!$H17&lt;AH46,Hedge!$H17-AH46,0),0)*2000*Hedge!$D17+Hedge!$F17</f>
        <v>0</v>
      </c>
      <c r="AI78" s="61">
        <f>IF(Hedge!$D17&gt;0,IF(Hedge!$H17&lt;AI46,Hedge!$H17-AI46,0),0)*2000*Hedge!$D17+Hedge!$F17</f>
        <v>0</v>
      </c>
    </row>
    <row r="79" spans="1:5" ht="12.75">
      <c r="A79" s="9" t="s">
        <v>221</v>
      </c>
      <c r="B79" s="3">
        <f t="shared" si="20"/>
        <v>39600</v>
      </c>
      <c r="C79">
        <f t="shared" si="18"/>
        <v>0</v>
      </c>
      <c r="D79">
        <f t="shared" si="19"/>
        <v>0</v>
      </c>
      <c r="E79">
        <f aca="true" t="shared" si="33" ref="E79:E97">E67</f>
        <v>6</v>
      </c>
    </row>
    <row r="80" spans="1:35" ht="12.75">
      <c r="A80" s="9" t="s">
        <v>222</v>
      </c>
      <c r="B80" s="3">
        <f t="shared" si="20"/>
        <v>39630</v>
      </c>
      <c r="C80">
        <f t="shared" si="18"/>
        <v>0</v>
      </c>
      <c r="D80">
        <f t="shared" si="19"/>
        <v>0</v>
      </c>
      <c r="E80">
        <f t="shared" si="33"/>
        <v>7</v>
      </c>
      <c r="Z80" t="s">
        <v>43</v>
      </c>
      <c r="AA80" s="61">
        <f>IF(Hedge!$D19&gt;0,IF(Hedge!$H19&gt;AA46,AA46-Hedge!$H19,0),0)*2000*Hedge!$D19+Hedge!$F19</f>
        <v>0</v>
      </c>
      <c r="AB80" s="61">
        <f>IF(Hedge!$D19&gt;0,IF(Hedge!$H19&gt;AB46,AB46-Hedge!$H19,0),0)*2000*Hedge!$D19+Hedge!$F19</f>
        <v>0</v>
      </c>
      <c r="AC80" s="61">
        <f>IF(Hedge!$D19&gt;0,IF(Hedge!$H19&gt;AC46,AC46-Hedge!$H19,0),0)*2000*Hedge!$D19+Hedge!$F19</f>
        <v>0</v>
      </c>
      <c r="AD80" s="61">
        <f>IF(Hedge!$D19&gt;0,IF(Hedge!$H19&gt;AD46,AD46-Hedge!$H19,0),0)*2000*Hedge!$D19+Hedge!$F19</f>
        <v>0</v>
      </c>
      <c r="AE80" s="61">
        <f>IF(Hedge!$D19&gt;0,IF(Hedge!$H19&gt;AE46,AE46-Hedge!$H19,0),0)*2000*Hedge!$D19+Hedge!$F19</f>
        <v>0</v>
      </c>
      <c r="AF80" s="61">
        <f>IF(Hedge!$D19&gt;0,IF(Hedge!$H19&gt;AF46,AF46-Hedge!$H19,0),0)*2000*Hedge!$D19+Hedge!$F19</f>
        <v>0</v>
      </c>
      <c r="AG80" s="61">
        <f>IF(Hedge!$D19&gt;0,IF(Hedge!$H19&gt;AG46,AG46-Hedge!$H19,0),0)*2000*Hedge!$D19+Hedge!$F19</f>
        <v>0</v>
      </c>
      <c r="AH80" s="61">
        <f>IF(Hedge!$D19&gt;0,IF(Hedge!$H19&gt;AH46,AH46-Hedge!$H19,0),0)*2000*Hedge!$D19+Hedge!$F19</f>
        <v>0</v>
      </c>
      <c r="AI80" s="61">
        <f>IF(Hedge!$D19&gt;0,IF(Hedge!$H19&gt;AI46,AI46-Hedge!$H19,0),0)*2000*Hedge!$D19+Hedge!$F19</f>
        <v>0</v>
      </c>
    </row>
    <row r="81" spans="1:35" ht="12.75">
      <c r="A81" s="9" t="s">
        <v>223</v>
      </c>
      <c r="B81" s="3">
        <f t="shared" si="20"/>
        <v>39661</v>
      </c>
      <c r="C81">
        <f t="shared" si="18"/>
        <v>0</v>
      </c>
      <c r="D81">
        <f t="shared" si="19"/>
        <v>0</v>
      </c>
      <c r="E81">
        <f t="shared" si="33"/>
        <v>8</v>
      </c>
      <c r="Z81" t="s">
        <v>44</v>
      </c>
      <c r="AA81" s="61">
        <f>IF(Hedge!$D20&gt;0,IF(Hedge!$H20&gt;AA46,Hedge!$H20-AA46,0),0)*2000*Hedge!$D20+Hedge!$F20</f>
        <v>0</v>
      </c>
      <c r="AB81" s="61">
        <f>IF(Hedge!$D20&gt;0,IF(Hedge!$H20&gt;AB46,Hedge!$H20-AB46,0),0)*2000*Hedge!$D20+Hedge!$F20</f>
        <v>0</v>
      </c>
      <c r="AC81" s="61">
        <f>IF(Hedge!$D20&gt;0,IF(Hedge!$H20&gt;AC46,Hedge!$H20-AC46,0),0)*2000*Hedge!$D20+Hedge!$F20</f>
        <v>0</v>
      </c>
      <c r="AD81" s="61">
        <f>IF(Hedge!$D20&gt;0,IF(Hedge!$H20&gt;AD46,Hedge!$H20-AD46,0),0)*2000*Hedge!$D20+Hedge!$F20</f>
        <v>0</v>
      </c>
      <c r="AE81" s="61">
        <f>IF(Hedge!$D20&gt;0,IF(Hedge!$H20&gt;AE46,Hedge!$H20-AE46,0),0)*2000*Hedge!$D20+Hedge!$F20</f>
        <v>0</v>
      </c>
      <c r="AF81" s="61">
        <f>IF(Hedge!$D20&gt;0,IF(Hedge!$H20&gt;AF46,Hedge!$H20-AF46,0),0)*2000*Hedge!$D20+Hedge!$F20</f>
        <v>0</v>
      </c>
      <c r="AG81" s="61">
        <f>IF(Hedge!$D20&gt;0,IF(Hedge!$H20&gt;AG46,Hedge!$H20-AG46,0),0)*2000*Hedge!$D20+Hedge!$F20</f>
        <v>0</v>
      </c>
      <c r="AH81" s="61">
        <f>IF(Hedge!$D20&gt;0,IF(Hedge!$H20&gt;AH46,Hedge!$H20-AH46,0),0)*2000*Hedge!$D20+Hedge!$F20</f>
        <v>0</v>
      </c>
      <c r="AI81" s="61">
        <f>IF(Hedge!$D20&gt;0,IF(Hedge!$H20&gt;AI46,Hedge!$H20-AI46,0),0)*2000*Hedge!$D20+Hedge!$F20</f>
        <v>0</v>
      </c>
    </row>
    <row r="82" spans="1:35" ht="12.75">
      <c r="A82" s="9" t="s">
        <v>224</v>
      </c>
      <c r="B82" s="3">
        <f t="shared" si="20"/>
        <v>39692</v>
      </c>
      <c r="C82">
        <f t="shared" si="18"/>
        <v>0</v>
      </c>
      <c r="D82">
        <f t="shared" si="19"/>
        <v>0</v>
      </c>
      <c r="E82">
        <f t="shared" si="33"/>
        <v>9</v>
      </c>
      <c r="Z82" s="6" t="s">
        <v>164</v>
      </c>
      <c r="AA82" s="61">
        <f>SUM(AA64:AA81)+AA57</f>
        <v>26535.728120166328</v>
      </c>
      <c r="AB82" s="61">
        <f aca="true" t="shared" si="34" ref="AB82:AI82">SUM(AB64:AB81)+AB57</f>
        <v>25571.881576068823</v>
      </c>
      <c r="AC82" s="61">
        <f t="shared" si="34"/>
        <v>26324.5055686759</v>
      </c>
      <c r="AD82" s="61">
        <f t="shared" si="34"/>
        <v>26105.01408933706</v>
      </c>
      <c r="AE82" s="61">
        <f t="shared" si="34"/>
        <v>26496.13132980785</v>
      </c>
      <c r="AF82" s="61">
        <f t="shared" si="34"/>
        <v>26723.5522263001</v>
      </c>
      <c r="AG82" s="61">
        <f t="shared" si="34"/>
        <v>26140.586700907308</v>
      </c>
      <c r="AH82" s="61">
        <f t="shared" si="34"/>
        <v>26178.771143466387</v>
      </c>
      <c r="AI82" s="61">
        <f t="shared" si="34"/>
        <v>26105.01408933706</v>
      </c>
    </row>
    <row r="83" spans="1:26" ht="12.75">
      <c r="A83" s="9" t="s">
        <v>225</v>
      </c>
      <c r="B83" s="3">
        <f t="shared" si="20"/>
        <v>39722</v>
      </c>
      <c r="C83">
        <f t="shared" si="18"/>
        <v>0</v>
      </c>
      <c r="D83">
        <f t="shared" si="19"/>
        <v>0</v>
      </c>
      <c r="E83">
        <f t="shared" si="33"/>
        <v>10</v>
      </c>
      <c r="Z83" t="s">
        <v>163</v>
      </c>
    </row>
    <row r="84" spans="1:26" ht="12.75">
      <c r="A84" s="9" t="s">
        <v>226</v>
      </c>
      <c r="B84" s="3">
        <f t="shared" si="20"/>
        <v>39753</v>
      </c>
      <c r="C84">
        <f t="shared" si="18"/>
        <v>0</v>
      </c>
      <c r="D84">
        <f t="shared" si="19"/>
        <v>0</v>
      </c>
      <c r="E84">
        <f t="shared" si="33"/>
        <v>11</v>
      </c>
      <c r="Z84" s="6" t="s">
        <v>38</v>
      </c>
    </row>
    <row r="85" spans="1:35" ht="12.75">
      <c r="A85" s="9" t="s">
        <v>227</v>
      </c>
      <c r="B85" s="3">
        <f t="shared" si="20"/>
        <v>39783</v>
      </c>
      <c r="C85">
        <f t="shared" si="18"/>
        <v>0</v>
      </c>
      <c r="D85">
        <f t="shared" si="19"/>
        <v>0</v>
      </c>
      <c r="E85">
        <f t="shared" si="33"/>
        <v>12</v>
      </c>
      <c r="Z85" t="s">
        <v>40</v>
      </c>
      <c r="AA85" s="61">
        <f>(IF(Hedge!$D3&gt;0,AA19-Hedge!$H3,0))*2000*Hedge!$D3+Hedge!$F3</f>
        <v>0</v>
      </c>
      <c r="AB85" s="61">
        <f>(IF(Hedge!$D3&gt;0,AB19-Hedge!$H3,0))*2000*Hedge!$D3+Hedge!$F3</f>
        <v>0</v>
      </c>
      <c r="AC85" s="61">
        <f>(IF(Hedge!$D3&gt;0,AC19-Hedge!$H3,0))*2000*Hedge!$D3+Hedge!$F3</f>
        <v>0</v>
      </c>
      <c r="AD85" s="61">
        <f>(IF(Hedge!$D3&gt;0,AD19-Hedge!$H3,0))*2000*Hedge!$D3+Hedge!$F3</f>
        <v>0</v>
      </c>
      <c r="AE85" s="61">
        <f>(IF(Hedge!$D3&gt;0,AE19-Hedge!$H3,0))*2000*Hedge!$D3+Hedge!$F3</f>
        <v>0</v>
      </c>
      <c r="AF85" s="61">
        <f>(IF(Hedge!$D3&gt;0,AF19-Hedge!$H3,0))*2000*Hedge!$D3+Hedge!$F3</f>
        <v>0</v>
      </c>
      <c r="AG85" s="61">
        <f>(IF(Hedge!$D3&gt;0,AG19-Hedge!$H3,0))*2000*Hedge!$D3+Hedge!$F3</f>
        <v>0</v>
      </c>
      <c r="AH85" s="61">
        <f>(IF(Hedge!$D3&gt;0,AH19-Hedge!$H3,0))*2000*Hedge!$D3+Hedge!$F3</f>
        <v>0</v>
      </c>
      <c r="AI85" s="61">
        <f>(IF(Hedge!$D3&gt;0,AI19-Hedge!$H3,0))*2000*Hedge!$D3+Hedge!$F3</f>
        <v>0</v>
      </c>
    </row>
    <row r="86" spans="1:35" ht="12.75">
      <c r="A86" s="9" t="s">
        <v>228</v>
      </c>
      <c r="B86" s="3">
        <f t="shared" si="20"/>
        <v>39814</v>
      </c>
      <c r="C86">
        <f t="shared" si="18"/>
        <v>0</v>
      </c>
      <c r="D86">
        <f t="shared" si="19"/>
        <v>0</v>
      </c>
      <c r="E86">
        <f t="shared" si="33"/>
        <v>1</v>
      </c>
      <c r="Z86" t="s">
        <v>39</v>
      </c>
      <c r="AA86" s="61">
        <f>(IF(Hedge!$D4&gt;0,Hedge!$H4-AA19,0))*2000*Hedge!$D4+Hedge!$F3</f>
        <v>0</v>
      </c>
      <c r="AB86" s="61">
        <f>(IF(Hedge!$D4&gt;0,Hedge!$H4-AB19,0))*2000*Hedge!$D4+Hedge!$F3</f>
        <v>0</v>
      </c>
      <c r="AC86" s="61">
        <f>(IF(Hedge!$D4&gt;0,Hedge!$H4-AC19,0))*2000*Hedge!$D4+Hedge!$F3</f>
        <v>0</v>
      </c>
      <c r="AD86" s="61">
        <f>(IF(Hedge!$D4&gt;0,Hedge!$H4-AD19,0))*2000*Hedge!$D4+Hedge!$F3</f>
        <v>0</v>
      </c>
      <c r="AE86" s="61">
        <f>(IF(Hedge!$D4&gt;0,Hedge!$H4-AE19,0))*2000*Hedge!$D4+Hedge!$F3</f>
        <v>0</v>
      </c>
      <c r="AF86" s="61">
        <f>(IF(Hedge!$D4&gt;0,Hedge!$H4-AF19,0))*2000*Hedge!$D4+Hedge!$F3</f>
        <v>0</v>
      </c>
      <c r="AG86" s="61">
        <f>(IF(Hedge!$D4&gt;0,Hedge!$H4-AG19,0))*2000*Hedge!$D4+Hedge!$F3</f>
        <v>0</v>
      </c>
      <c r="AH86" s="61">
        <f>(IF(Hedge!$D4&gt;0,Hedge!$H4-AH19,0))*2000*Hedge!$D4+Hedge!$F3</f>
        <v>0</v>
      </c>
      <c r="AI86" s="61">
        <f>(IF(Hedge!$D4&gt;0,Hedge!$H4-AI19,0))*2000*Hedge!$D4+Hedge!$F3</f>
        <v>0</v>
      </c>
    </row>
    <row r="87" spans="1:5" ht="12.75">
      <c r="A87" s="9" t="s">
        <v>229</v>
      </c>
      <c r="B87" s="3">
        <f t="shared" si="20"/>
        <v>39845</v>
      </c>
      <c r="C87">
        <f t="shared" si="18"/>
        <v>0</v>
      </c>
      <c r="D87">
        <f t="shared" si="19"/>
        <v>0</v>
      </c>
      <c r="E87">
        <f t="shared" si="33"/>
        <v>2</v>
      </c>
    </row>
    <row r="88" spans="1:35" ht="12.75">
      <c r="A88" s="9" t="s">
        <v>230</v>
      </c>
      <c r="B88" s="3">
        <f t="shared" si="20"/>
        <v>39873</v>
      </c>
      <c r="C88">
        <f t="shared" si="18"/>
        <v>0</v>
      </c>
      <c r="D88">
        <f t="shared" si="19"/>
        <v>0</v>
      </c>
      <c r="E88">
        <f t="shared" si="33"/>
        <v>3</v>
      </c>
      <c r="Z88" t="s">
        <v>41</v>
      </c>
      <c r="AA88" s="61">
        <f>IF(Hedge!$D6&gt;0,IF(Hedge!$H6&lt;AA19,AA19-Hedge!$H6,0),0)*2000*Hedge!$D6+Hedge!$F6</f>
        <v>0</v>
      </c>
      <c r="AB88" s="61">
        <f>IF(Hedge!$D6&gt;0,IF(Hedge!$H6&lt;AB19,AB19-Hedge!$H6,0),0)*2000*Hedge!$D6+Hedge!$F6</f>
        <v>0</v>
      </c>
      <c r="AC88" s="61">
        <f>IF(Hedge!$D6&gt;0,IF(Hedge!$H6&lt;AC19,AC19-Hedge!$H6,0),0)*2000*Hedge!$D6+Hedge!$F6</f>
        <v>0</v>
      </c>
      <c r="AD88" s="61">
        <f>IF(Hedge!$D6&gt;0,IF(Hedge!$H6&lt;AD19,AD19-Hedge!$H6,0),0)*2000*Hedge!$D6+Hedge!$F6</f>
        <v>0</v>
      </c>
      <c r="AE88" s="61">
        <f>IF(Hedge!$D6&gt;0,IF(Hedge!$H6&lt;AE19,AE19-Hedge!$H6,0),0)*2000*Hedge!$D6+Hedge!$F6</f>
        <v>0</v>
      </c>
      <c r="AF88" s="61">
        <f>IF(Hedge!$D6&gt;0,IF(Hedge!$H6&lt;AF19,AF19-Hedge!$H6,0),0)*2000*Hedge!$D6+Hedge!$F6</f>
        <v>0</v>
      </c>
      <c r="AG88" s="61">
        <f>IF(Hedge!$D6&gt;0,IF(Hedge!$H6&lt;AG19,AG19-Hedge!$H6,0),0)*2000*Hedge!$D6+Hedge!$F6</f>
        <v>0</v>
      </c>
      <c r="AH88" s="61">
        <f>IF(Hedge!$D6&gt;0,IF(Hedge!$H6&lt;AH19,AH19-Hedge!$H6,0),0)*2000*Hedge!$D6+Hedge!$F6</f>
        <v>0</v>
      </c>
      <c r="AI88" s="61">
        <f>IF(Hedge!$D6&gt;0,IF(Hedge!$H6&lt;AI19,AI19-Hedge!$H6,0),0)*2000*Hedge!$D6+Hedge!$F6</f>
        <v>0</v>
      </c>
    </row>
    <row r="89" spans="1:35" ht="12.75">
      <c r="A89" s="9" t="s">
        <v>231</v>
      </c>
      <c r="B89" s="3">
        <f t="shared" si="20"/>
        <v>39904</v>
      </c>
      <c r="C89">
        <f t="shared" si="18"/>
        <v>0</v>
      </c>
      <c r="D89">
        <f t="shared" si="19"/>
        <v>0</v>
      </c>
      <c r="E89">
        <f t="shared" si="33"/>
        <v>4</v>
      </c>
      <c r="Z89" t="s">
        <v>42</v>
      </c>
      <c r="AA89" s="61">
        <f>IF(Hedge!$D7&gt;0,IF(Hedge!$H7&lt;AA19,Hedge!$H7-AA19,0),0)*2000*Hedge!$D7+Hedge!$F7</f>
        <v>0</v>
      </c>
      <c r="AB89" s="61">
        <f>IF(Hedge!$D7&gt;0,IF(Hedge!$H7&lt;AB19,Hedge!$H7-AB19,0),0)*2000*Hedge!$D7+Hedge!$F7</f>
        <v>0</v>
      </c>
      <c r="AC89" s="61">
        <f>IF(Hedge!$D7&gt;0,IF(Hedge!$H7&lt;AC19,Hedge!$H7-AC19,0),0)*2000*Hedge!$D7+Hedge!$F7</f>
        <v>0</v>
      </c>
      <c r="AD89" s="61">
        <f>IF(Hedge!$D7&gt;0,IF(Hedge!$H7&lt;AD19,Hedge!$H7-AD19,0),0)*2000*Hedge!$D7+Hedge!$F7</f>
        <v>0</v>
      </c>
      <c r="AE89" s="61">
        <f>IF(Hedge!$D7&gt;0,IF(Hedge!$H7&lt;AE19,Hedge!$H7-AE19,0),0)*2000*Hedge!$D7+Hedge!$F7</f>
        <v>0</v>
      </c>
      <c r="AF89" s="61">
        <f>IF(Hedge!$D7&gt;0,IF(Hedge!$H7&lt;AF19,Hedge!$H7-AF19,0),0)*2000*Hedge!$D7+Hedge!$F7</f>
        <v>0</v>
      </c>
      <c r="AG89" s="61">
        <f>IF(Hedge!$D7&gt;0,IF(Hedge!$H7&lt;AG19,Hedge!$H7-AG19,0),0)*2000*Hedge!$D7+Hedge!$F7</f>
        <v>0</v>
      </c>
      <c r="AH89" s="61">
        <f>IF(Hedge!$D7&gt;0,IF(Hedge!$H7&lt;AH19,Hedge!$H7-AH19,0),0)*2000*Hedge!$D7+Hedge!$F7</f>
        <v>0</v>
      </c>
      <c r="AI89" s="61">
        <f>IF(Hedge!$D7&gt;0,IF(Hedge!$H7&lt;AI19,Hedge!$H7-AI19,0),0)*2000*Hedge!$D7+Hedge!$F7</f>
        <v>0</v>
      </c>
    </row>
    <row r="90" spans="1:5" ht="12.75">
      <c r="A90" s="9" t="s">
        <v>232</v>
      </c>
      <c r="B90" s="3">
        <f t="shared" si="20"/>
        <v>39934</v>
      </c>
      <c r="C90">
        <f t="shared" si="18"/>
        <v>0</v>
      </c>
      <c r="D90">
        <f t="shared" si="19"/>
        <v>0</v>
      </c>
      <c r="E90">
        <f t="shared" si="33"/>
        <v>5</v>
      </c>
    </row>
    <row r="91" spans="1:35" ht="12.75">
      <c r="A91" s="9" t="s">
        <v>169</v>
      </c>
      <c r="B91" s="3">
        <f t="shared" si="20"/>
        <v>39965</v>
      </c>
      <c r="C91">
        <f t="shared" si="18"/>
        <v>0</v>
      </c>
      <c r="D91">
        <f t="shared" si="19"/>
        <v>0</v>
      </c>
      <c r="E91">
        <f t="shared" si="33"/>
        <v>6</v>
      </c>
      <c r="Z91" t="s">
        <v>43</v>
      </c>
      <c r="AA91" s="61">
        <f>IF(Hedge!$D9&gt;0,IF(Hedge!$H9&gt;AA19,AA19-Hedge!$H9,0),0)*2000*Hedge!$D9+Hedge!$F9</f>
        <v>0</v>
      </c>
      <c r="AB91" s="61">
        <f>IF(Hedge!$D9&gt;0,IF(Hedge!$H9&gt;AB19,AB19-Hedge!$H9,0),0)*2000*Hedge!$D9+Hedge!$F9</f>
        <v>0</v>
      </c>
      <c r="AC91" s="61">
        <f>IF(Hedge!$D9&gt;0,IF(Hedge!$H9&gt;AC19,AC19-Hedge!$H9,0),0)*2000*Hedge!$D9+Hedge!$F9</f>
        <v>0</v>
      </c>
      <c r="AD91" s="61">
        <f>IF(Hedge!$D9&gt;0,IF(Hedge!$H9&gt;AD19,AD19-Hedge!$H9,0),0)*2000*Hedge!$D9+Hedge!$F9</f>
        <v>0</v>
      </c>
      <c r="AE91" s="61">
        <f>IF(Hedge!$D9&gt;0,IF(Hedge!$H9&gt;AE19,AE19-Hedge!$H9,0),0)*2000*Hedge!$D9+Hedge!$F9</f>
        <v>0</v>
      </c>
      <c r="AF91" s="61">
        <f>IF(Hedge!$D9&gt;0,IF(Hedge!$H9&gt;AF19,AF19-Hedge!$H9,0),0)*2000*Hedge!$D9+Hedge!$F9</f>
        <v>0</v>
      </c>
      <c r="AG91" s="61">
        <f>IF(Hedge!$D9&gt;0,IF(Hedge!$H9&gt;AG19,AG19-Hedge!$H9,0),0)*2000*Hedge!$D9+Hedge!$F9</f>
        <v>0</v>
      </c>
      <c r="AH91" s="61">
        <f>IF(Hedge!$D9&gt;0,IF(Hedge!$H9&gt;AH19,AH19-Hedge!$H9,0),0)*2000*Hedge!$D9+Hedge!$F9</f>
        <v>0</v>
      </c>
      <c r="AI91" s="61">
        <f>IF(Hedge!$D9&gt;0,IF(Hedge!$H9&gt;AI19,AI19-Hedge!$H9,0),0)*2000*Hedge!$D9+Hedge!$F9</f>
        <v>0</v>
      </c>
    </row>
    <row r="92" spans="1:35" ht="12.75">
      <c r="A92" s="9" t="s">
        <v>233</v>
      </c>
      <c r="B92" s="3">
        <f aca="true" t="shared" si="35" ref="B92:B97">DATE(YEAR(B80)+1,E92,1)</f>
        <v>39995</v>
      </c>
      <c r="C92">
        <f aca="true" t="shared" si="36" ref="C92:C97">IF(D92&gt;0,E92,0)</f>
        <v>0</v>
      </c>
      <c r="D92">
        <f aca="true" t="shared" si="37" ref="D92:D97">IF(A92=B$1,A93-A92,0)</f>
        <v>0</v>
      </c>
      <c r="E92">
        <f t="shared" si="33"/>
        <v>7</v>
      </c>
      <c r="Z92" t="s">
        <v>44</v>
      </c>
      <c r="AA92" s="61">
        <f>IF(Hedge!$D10&gt;0,IF(Hedge!$H10&gt;AA19,Hedge!$H10-AA19,0),0)*2000*Hedge!$D10+Hedge!$F10</f>
        <v>0</v>
      </c>
      <c r="AB92" s="61">
        <f>IF(Hedge!$D10&gt;0,IF(Hedge!$H10&gt;AB19,Hedge!$H10-AB19,0),0)*2000*Hedge!$D10+Hedge!$F10</f>
        <v>0</v>
      </c>
      <c r="AC92" s="61">
        <f>IF(Hedge!$D10&gt;0,IF(Hedge!$H10&gt;AC19,Hedge!$H10-AC19,0),0)*2000*Hedge!$D10+Hedge!$F10</f>
        <v>0</v>
      </c>
      <c r="AD92" s="61">
        <f>IF(Hedge!$D10&gt;0,IF(Hedge!$H10&gt;AD19,Hedge!$H10-AD19,0),0)*2000*Hedge!$D10+Hedge!$F10</f>
        <v>0</v>
      </c>
      <c r="AE92" s="61">
        <f>IF(Hedge!$D10&gt;0,IF(Hedge!$H10&gt;AE19,Hedge!$H10-AE19,0),0)*2000*Hedge!$D10+Hedge!$F10</f>
        <v>0</v>
      </c>
      <c r="AF92" s="61">
        <f>IF(Hedge!$D10&gt;0,IF(Hedge!$H10&gt;AF19,Hedge!$H10-AF19,0),0)*2000*Hedge!$D10+Hedge!$F10</f>
        <v>0</v>
      </c>
      <c r="AG92" s="61">
        <f>IF(Hedge!$D10&gt;0,IF(Hedge!$H10&gt;AG19,Hedge!$H10-AG19,0),0)*2000*Hedge!$D10+Hedge!$F10</f>
        <v>0</v>
      </c>
      <c r="AH92" s="61">
        <f>IF(Hedge!$D10&gt;0,IF(Hedge!$H10&gt;AH19,Hedge!$H10-AH19,0),0)*2000*Hedge!$D10+Hedge!$F10</f>
        <v>0</v>
      </c>
      <c r="AI92" s="61">
        <f>IF(Hedge!$D10&gt;0,IF(Hedge!$H10&gt;AI19,Hedge!$H10-AI19,0),0)*2000*Hedge!$D10+Hedge!$F10</f>
        <v>0</v>
      </c>
    </row>
    <row r="93" spans="1:5" ht="12.75">
      <c r="A93" s="9" t="s">
        <v>234</v>
      </c>
      <c r="B93" s="3">
        <f t="shared" si="35"/>
        <v>40026</v>
      </c>
      <c r="C93">
        <f t="shared" si="36"/>
        <v>0</v>
      </c>
      <c r="D93">
        <f t="shared" si="37"/>
        <v>0</v>
      </c>
      <c r="E93">
        <f t="shared" si="33"/>
        <v>8</v>
      </c>
    </row>
    <row r="94" spans="1:26" ht="12.75">
      <c r="A94" s="9" t="s">
        <v>235</v>
      </c>
      <c r="B94" s="3">
        <f t="shared" si="35"/>
        <v>40057</v>
      </c>
      <c r="C94">
        <f t="shared" si="36"/>
        <v>0</v>
      </c>
      <c r="D94">
        <f t="shared" si="37"/>
        <v>0</v>
      </c>
      <c r="E94">
        <f t="shared" si="33"/>
        <v>9</v>
      </c>
      <c r="Z94" s="6" t="s">
        <v>45</v>
      </c>
    </row>
    <row r="95" spans="1:35" ht="12.75">
      <c r="A95" s="9" t="s">
        <v>236</v>
      </c>
      <c r="B95" s="3">
        <f t="shared" si="35"/>
        <v>40087</v>
      </c>
      <c r="C95">
        <f t="shared" si="36"/>
        <v>0</v>
      </c>
      <c r="D95">
        <f t="shared" si="37"/>
        <v>0</v>
      </c>
      <c r="E95">
        <f t="shared" si="33"/>
        <v>10</v>
      </c>
      <c r="Z95" t="s">
        <v>40</v>
      </c>
      <c r="AA95" s="61">
        <f>((IF(Hedge!$D13&gt;0,AA17-Hedge!$H13,0))*2000*Hedge!$D13)+Hedge!$F13</f>
        <v>0</v>
      </c>
      <c r="AB95" s="61">
        <f>((IF(Hedge!$D13&gt;0,AB17-Hedge!$H13,0))*2000*Hedge!$D13)+Hedge!$F13</f>
        <v>0</v>
      </c>
      <c r="AC95" s="61">
        <f>((IF(Hedge!$D13&gt;0,AC17-Hedge!$H13,0))*2000*Hedge!$D13)+Hedge!$F13</f>
        <v>0</v>
      </c>
      <c r="AD95" s="61">
        <f>((IF(Hedge!$D13&gt;0,AD17-Hedge!$H13,0))*2000*Hedge!$D13)+Hedge!$F13</f>
        <v>0</v>
      </c>
      <c r="AE95" s="61">
        <f>((IF(Hedge!$D13&gt;0,AE17-Hedge!$H13,0))*2000*Hedge!$D13)+Hedge!$F13</f>
        <v>0</v>
      </c>
      <c r="AF95" s="61">
        <f>((IF(Hedge!$D13&gt;0,AF17-Hedge!$H13,0))*2000*Hedge!$D13)+Hedge!$F13</f>
        <v>0</v>
      </c>
      <c r="AG95" s="61">
        <f>((IF(Hedge!$D13&gt;0,AG17-Hedge!$H13,0))*2000*Hedge!$D13)+Hedge!$F13</f>
        <v>0</v>
      </c>
      <c r="AH95" s="61">
        <f>((IF(Hedge!$D13&gt;0,AH17-Hedge!$H13,0))*2000*Hedge!$D13)+Hedge!$F13</f>
        <v>0</v>
      </c>
      <c r="AI95" s="61">
        <f>((IF(Hedge!$D13&gt;0,AI17-Hedge!$H13,0))*2000*Hedge!$D13)+Hedge!$F13</f>
        <v>0</v>
      </c>
    </row>
    <row r="96" spans="1:35" ht="12.75">
      <c r="A96" s="9" t="s">
        <v>168</v>
      </c>
      <c r="B96" s="3">
        <f t="shared" si="35"/>
        <v>40118</v>
      </c>
      <c r="C96">
        <f t="shared" si="36"/>
        <v>0</v>
      </c>
      <c r="D96">
        <f t="shared" si="37"/>
        <v>0</v>
      </c>
      <c r="E96">
        <f t="shared" si="33"/>
        <v>11</v>
      </c>
      <c r="Z96" t="s">
        <v>39</v>
      </c>
      <c r="AA96" s="61">
        <f>((IF(Hedge!$D14&gt;0,Hedge!$H14-AA17,0))*2000*Hedge!$D14)+Hedge!$F14</f>
        <v>0</v>
      </c>
      <c r="AB96" s="61">
        <f>((IF(Hedge!$D14&gt;0,Hedge!$H14-AB17,0))*2000*Hedge!$D14)+Hedge!$F14</f>
        <v>0</v>
      </c>
      <c r="AC96" s="61">
        <f>((IF(Hedge!$D14&gt;0,Hedge!$H14-AC17,0))*2000*Hedge!$D14)+Hedge!$F14</f>
        <v>0</v>
      </c>
      <c r="AD96" s="61">
        <f>((IF(Hedge!$D14&gt;0,Hedge!$H14-AD17,0))*2000*Hedge!$D14)+Hedge!$F14</f>
        <v>0</v>
      </c>
      <c r="AE96" s="61">
        <f>((IF(Hedge!$D14&gt;0,Hedge!$H14-AE17,0))*2000*Hedge!$D14)+Hedge!$F14</f>
        <v>0</v>
      </c>
      <c r="AF96" s="61">
        <f>((IF(Hedge!$D14&gt;0,Hedge!$H14-AF17,0))*2000*Hedge!$D14)+Hedge!$F14</f>
        <v>0</v>
      </c>
      <c r="AG96" s="61">
        <f>((IF(Hedge!$D14&gt;0,Hedge!$H14-AG17,0))*2000*Hedge!$D14)+Hedge!$F14</f>
        <v>0</v>
      </c>
      <c r="AH96" s="61">
        <f>((IF(Hedge!$D14&gt;0,Hedge!$H14-AH17,0))*2000*Hedge!$D14)+Hedge!$F14</f>
        <v>0</v>
      </c>
      <c r="AI96" s="61">
        <f>((IF(Hedge!$D14&gt;0,Hedge!$H14-AI17,0))*2000*Hedge!$D14)+Hedge!$F14</f>
        <v>0</v>
      </c>
    </row>
    <row r="97" spans="1:5" ht="12.75">
      <c r="A97" s="9" t="s">
        <v>237</v>
      </c>
      <c r="B97" s="3">
        <f t="shared" si="35"/>
        <v>40148</v>
      </c>
      <c r="C97">
        <f t="shared" si="36"/>
        <v>0</v>
      </c>
      <c r="D97">
        <f t="shared" si="37"/>
        <v>0</v>
      </c>
      <c r="E97">
        <f t="shared" si="33"/>
        <v>12</v>
      </c>
    </row>
    <row r="98" spans="26:35" ht="12.75">
      <c r="Z98" t="s">
        <v>41</v>
      </c>
      <c r="AA98" s="61">
        <f>IF(Hedge!$D16&gt;0,IF(Hedge!$H16&lt;AA17,AA17-Hedge!$H16,0),0)*2000*Hedge!$D16+Hedge!$F16</f>
        <v>0</v>
      </c>
      <c r="AB98" s="61">
        <f>IF(Hedge!$D16&gt;0,IF(Hedge!$H16&lt;AB17,AB17-Hedge!$H16,0),0)*2000*Hedge!$D16+Hedge!$F16</f>
        <v>0</v>
      </c>
      <c r="AC98" s="61">
        <f>IF(Hedge!$D16&gt;0,IF(Hedge!$H16&lt;AC17,AC17-Hedge!$H16,0),0)*2000*Hedge!$D16+Hedge!$F16</f>
        <v>0</v>
      </c>
      <c r="AD98" s="61">
        <f>IF(Hedge!$D16&gt;0,IF(Hedge!$H16&lt;AD17,AD17-Hedge!$H16,0),0)*2000*Hedge!$D16+Hedge!$F16</f>
        <v>0</v>
      </c>
      <c r="AE98" s="61">
        <f>IF(Hedge!$D16&gt;0,IF(Hedge!$H16&lt;AE17,AE17-Hedge!$H16,0),0)*2000*Hedge!$D16+Hedge!$F16</f>
        <v>0</v>
      </c>
      <c r="AF98" s="61">
        <f>IF(Hedge!$D16&gt;0,IF(Hedge!$H16&lt;AF17,AF17-Hedge!$H16,0),0)*2000*Hedge!$D16+Hedge!$F16</f>
        <v>0</v>
      </c>
      <c r="AG98" s="61">
        <f>IF(Hedge!$D16&gt;0,IF(Hedge!$H16&lt;AG17,AG17-Hedge!$H16,0),0)*2000*Hedge!$D16+Hedge!$F16</f>
        <v>0</v>
      </c>
      <c r="AH98" s="61">
        <f>IF(Hedge!$D16&gt;0,IF(Hedge!$H16&lt;AH17,AH17-Hedge!$H16,0),0)*2000*Hedge!$D16+Hedge!$F16</f>
        <v>0</v>
      </c>
      <c r="AI98" s="61">
        <f>IF(Hedge!$D16&gt;0,IF(Hedge!$H16&lt;AI17,AI17-Hedge!$H16,0),0)*2000*Hedge!$D16+Hedge!$F16</f>
        <v>0</v>
      </c>
    </row>
    <row r="99" spans="26:35" ht="12.75">
      <c r="Z99" t="s">
        <v>42</v>
      </c>
      <c r="AA99" s="61">
        <f>IF(Hedge!$D17&gt;0,IF(Hedge!$H17&lt;AA17,Hedge!$H17-AA17,0),0)*2000*Hedge!$D17+Hedge!$F17</f>
        <v>0</v>
      </c>
      <c r="AB99" s="61">
        <f>IF(Hedge!$D17&gt;0,IF(Hedge!$H17&lt;AB17,Hedge!$H17-AB17,0),0)*2000*Hedge!$D17+Hedge!$F17</f>
        <v>0</v>
      </c>
      <c r="AC99" s="61">
        <f>IF(Hedge!$D17&gt;0,IF(Hedge!$H17&lt;AC17,Hedge!$H17-AC17,0),0)*2000*Hedge!$D17+Hedge!$F17</f>
        <v>0</v>
      </c>
      <c r="AD99" s="61">
        <f>IF(Hedge!$D17&gt;0,IF(Hedge!$H17&lt;AD17,Hedge!$H17-AD17,0),0)*2000*Hedge!$D17+Hedge!$F17</f>
        <v>0</v>
      </c>
      <c r="AE99" s="61">
        <f>IF(Hedge!$D17&gt;0,IF(Hedge!$H17&lt;AE17,Hedge!$H17-AE17,0),0)*2000*Hedge!$D17+Hedge!$F17</f>
        <v>0</v>
      </c>
      <c r="AF99" s="61">
        <f>IF(Hedge!$D17&gt;0,IF(Hedge!$H17&lt;AF17,Hedge!$H17-AF17,0),0)*2000*Hedge!$D17+Hedge!$F17</f>
        <v>0</v>
      </c>
      <c r="AG99" s="61">
        <f>IF(Hedge!$D17&gt;0,IF(Hedge!$H17&lt;AG17,Hedge!$H17-AG17,0),0)*2000*Hedge!$D17+Hedge!$F17</f>
        <v>0</v>
      </c>
      <c r="AH99" s="61">
        <f>IF(Hedge!$D17&gt;0,IF(Hedge!$H17&lt;AH17,Hedge!$H17-AH17,0),0)*2000*Hedge!$D17+Hedge!$F17</f>
        <v>0</v>
      </c>
      <c r="AI99" s="61">
        <f>IF(Hedge!$D17&gt;0,IF(Hedge!$H17&lt;AI17,Hedge!$H17-AI17,0),0)*2000*Hedge!$D17+Hedge!$F17</f>
        <v>0</v>
      </c>
    </row>
    <row r="101" spans="26:35" ht="12.75">
      <c r="Z101" t="s">
        <v>43</v>
      </c>
      <c r="AA101" s="61">
        <f>IF(Hedge!$D19&gt;0,IF(Hedge!$H19&gt;AA17,AA17-Hedge!$H19,0),0)*2000*Hedge!$D19+Hedge!$F19</f>
        <v>0</v>
      </c>
      <c r="AB101" s="61">
        <f>IF(Hedge!$D19&gt;0,IF(Hedge!$H19&gt;AB17,AB17-Hedge!$H19,0),0)*2000*Hedge!$D19+Hedge!$F19</f>
        <v>0</v>
      </c>
      <c r="AC101" s="61">
        <f>IF(Hedge!$D19&gt;0,IF(Hedge!$H19&gt;AC17,AC17-Hedge!$H19,0),0)*2000*Hedge!$D19+Hedge!$F19</f>
        <v>0</v>
      </c>
      <c r="AD101" s="61">
        <f>IF(Hedge!$D19&gt;0,IF(Hedge!$H19&gt;AD17,AD17-Hedge!$H19,0),0)*2000*Hedge!$D19+Hedge!$F19</f>
        <v>0</v>
      </c>
      <c r="AE101" s="61">
        <f>IF(Hedge!$D19&gt;0,IF(Hedge!$H19&gt;AE17,AE17-Hedge!$H19,0),0)*2000*Hedge!$D19+Hedge!$F19</f>
        <v>0</v>
      </c>
      <c r="AF101" s="61">
        <f>IF(Hedge!$D19&gt;0,IF(Hedge!$H19&gt;AF17,AF17-Hedge!$H19,0),0)*2000*Hedge!$D19+Hedge!$F19</f>
        <v>0</v>
      </c>
      <c r="AG101" s="61">
        <f>IF(Hedge!$D19&gt;0,IF(Hedge!$H19&gt;AG17,AG17-Hedge!$H19,0),0)*2000*Hedge!$D19+Hedge!$F19</f>
        <v>0</v>
      </c>
      <c r="AH101" s="61">
        <f>IF(Hedge!$D19&gt;0,IF(Hedge!$H19&gt;AH17,AH17-Hedge!$H19,0),0)*2000*Hedge!$D19+Hedge!$F19</f>
        <v>0</v>
      </c>
      <c r="AI101" s="61">
        <f>IF(Hedge!$D19&gt;0,IF(Hedge!$H19&gt;AI17,AI17-Hedge!$H19,0),0)*2000*Hedge!$D19+Hedge!$F19</f>
        <v>0</v>
      </c>
    </row>
    <row r="102" spans="26:35" ht="12.75">
      <c r="Z102" t="s">
        <v>44</v>
      </c>
      <c r="AA102" s="61">
        <f>IF(Hedge!$D20&gt;0,IF(Hedge!$H20&gt;AA17,Hedge!$H20-AA17,0),0)*2000*Hedge!$D20+Hedge!$F20</f>
        <v>0</v>
      </c>
      <c r="AB102" s="61">
        <f>IF(Hedge!$D20&gt;0,IF(Hedge!$H20&gt;AB17,Hedge!$H20-AB17,0),0)*2000*Hedge!$D20+Hedge!$F20</f>
        <v>0</v>
      </c>
      <c r="AC102" s="61">
        <f>IF(Hedge!$D20&gt;0,IF(Hedge!$H20&gt;AC17,Hedge!$H20-AC17,0),0)*2000*Hedge!$D20+Hedge!$F20</f>
        <v>0</v>
      </c>
      <c r="AD102" s="61">
        <f>IF(Hedge!$D20&gt;0,IF(Hedge!$H20&gt;AD17,Hedge!$H20-AD17,0),0)*2000*Hedge!$D20+Hedge!$F20</f>
        <v>0</v>
      </c>
      <c r="AE102" s="61">
        <f>IF(Hedge!$D20&gt;0,IF(Hedge!$H20&gt;AE17,Hedge!$H20-AE17,0),0)*2000*Hedge!$D20+Hedge!$F20</f>
        <v>0</v>
      </c>
      <c r="AF102" s="61">
        <f>IF(Hedge!$D20&gt;0,IF(Hedge!$H20&gt;AF17,Hedge!$H20-AF17,0),0)*2000*Hedge!$D20+Hedge!$F20</f>
        <v>0</v>
      </c>
      <c r="AG102" s="61">
        <f>IF(Hedge!$D20&gt;0,IF(Hedge!$H20&gt;AG17,Hedge!$H20-AG17,0),0)*2000*Hedge!$D20+Hedge!$F20</f>
        <v>0</v>
      </c>
      <c r="AH102" s="61">
        <f>IF(Hedge!$D20&gt;0,IF(Hedge!$H20&gt;AH17,Hedge!$H20-AH17,0),0)*2000*Hedge!$D20+Hedge!$F20</f>
        <v>0</v>
      </c>
      <c r="AI102" s="61">
        <f>IF(Hedge!$D20&gt;0,IF(Hedge!$H20&gt;AI17,Hedge!$H20-AI17,0),0)*2000*Hedge!$D20+Hedge!$F20</f>
        <v>0</v>
      </c>
    </row>
    <row r="104" spans="26:35" ht="12.75">
      <c r="Z104" s="6" t="s">
        <v>165</v>
      </c>
      <c r="AA104" s="61">
        <f>SUM(AA85:AA102)+AA28</f>
        <v>25674.300058507793</v>
      </c>
      <c r="AB104" s="61">
        <f aca="true" t="shared" si="38" ref="AB104:AI104">SUM(AB85:AB102)+AB28</f>
        <v>26365.2446611355</v>
      </c>
      <c r="AC104" s="61">
        <f t="shared" si="38"/>
        <v>26158.78950177507</v>
      </c>
      <c r="AD104" s="61">
        <f t="shared" si="38"/>
        <v>26105.01408933706</v>
      </c>
      <c r="AE104" s="61">
        <f t="shared" si="38"/>
        <v>26094.689696049256</v>
      </c>
      <c r="AF104" s="61">
        <f t="shared" si="38"/>
        <v>26378.713968413787</v>
      </c>
      <c r="AG104" s="61">
        <f t="shared" si="38"/>
        <v>26105.01408933706</v>
      </c>
      <c r="AH104" s="61">
        <f t="shared" si="38"/>
        <v>26074.33421917177</v>
      </c>
      <c r="AI104" s="61">
        <f t="shared" si="38"/>
        <v>26105.01408933706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5">
    <pageSetUpPr fitToPage="1"/>
  </sheetPr>
  <dimension ref="A1:X35"/>
  <sheetViews>
    <sheetView workbookViewId="0" topLeftCell="A1">
      <selection activeCell="H8" sqref="H8"/>
    </sheetView>
  </sheetViews>
  <sheetFormatPr defaultColWidth="9.140625" defaultRowHeight="12.75"/>
  <cols>
    <col min="1" max="1" width="2.7109375" style="0" customWidth="1"/>
    <col min="2" max="2" width="19.421875" style="0" customWidth="1"/>
    <col min="3" max="3" width="1.7109375" style="0" customWidth="1"/>
    <col min="4" max="4" width="14.7109375" style="0" customWidth="1"/>
    <col min="5" max="5" width="1.7109375" style="0" customWidth="1"/>
    <col min="6" max="6" width="14.7109375" style="0" customWidth="1"/>
    <col min="7" max="7" width="4.140625" style="0" customWidth="1"/>
    <col min="8" max="8" width="14.7109375" style="0" customWidth="1"/>
    <col min="9" max="9" width="8.28125" style="0" customWidth="1"/>
    <col min="10" max="10" width="8.28125" style="17" customWidth="1"/>
    <col min="11" max="14" width="8.28125" style="0" customWidth="1"/>
    <col min="15" max="15" width="13.28125" style="0" bestFit="1" customWidth="1"/>
    <col min="16" max="16" width="12.140625" style="0" bestFit="1" customWidth="1"/>
    <col min="17" max="17" width="10.28125" style="0" bestFit="1" customWidth="1"/>
    <col min="18" max="18" width="13.28125" style="0" bestFit="1" customWidth="1"/>
    <col min="19" max="19" width="12.140625" style="0" bestFit="1" customWidth="1"/>
    <col min="22" max="22" width="9.28125" style="0" bestFit="1" customWidth="1"/>
    <col min="23" max="24" width="13.28125" style="0" bestFit="1" customWidth="1"/>
  </cols>
  <sheetData>
    <row r="1" spans="1:19" s="11" customFormat="1" ht="12.75">
      <c r="A1" s="10" t="s">
        <v>159</v>
      </c>
      <c r="J1" s="16"/>
      <c r="P1" s="11" t="s">
        <v>166</v>
      </c>
      <c r="S1" s="11" t="s">
        <v>167</v>
      </c>
    </row>
    <row r="2" spans="1:24" s="11" customFormat="1" ht="12.75">
      <c r="A2" s="10"/>
      <c r="B2" s="90" t="s">
        <v>0</v>
      </c>
      <c r="D2" s="16">
        <f>Forecast!E6*Forecast!G7*Data!D1*(Forecast!G11*Data!I12+Data!I13*Forecast!G12+Forecast!G13*Data!I14+Forecast!G43/100+((350000-Forecast!G15)*0.00000006))</f>
        <v>25697.777871913815</v>
      </c>
      <c r="F2" s="78">
        <f>Forecast!G6*Forecast!G7*Data!D1*(Forecast!G11*Data!I12+Data!I13*Forecast!G12+Forecast!G13*Data!I14+Forecast!G43/100+((350000-Forecast!G15)*0.00000006))</f>
        <v>25697.777871913815</v>
      </c>
      <c r="H2" s="16">
        <f>Forecast!I6*Forecast!G7*Data!D1*(Forecast!G11*Data!I12+Data!I13*Forecast!G12+Forecast!G13*Data!I14+Forecast!G43/100+((350000-Forecast!G15)*0.00000006))</f>
        <v>25697.777871913815</v>
      </c>
      <c r="I2" s="11" t="str">
        <f ca="1" t="shared" si="0" ref="I2:I18">INDIRECT(ADDRESS(M2,2))</f>
        <v>Total Risk</v>
      </c>
      <c r="J2" s="16">
        <f ca="1">INDIRECT(ADDRESS($M2,4))-INDIRECT(ADDRESS($M2,6))</f>
        <v>-142.6286129840846</v>
      </c>
      <c r="K2" s="16">
        <f ca="1" t="shared" si="1" ref="K2:K18">INDIRECT(ADDRESS($M2,6))-INDIRECT(ADDRESS($M2,6))</f>
        <v>0</v>
      </c>
      <c r="L2" s="16">
        <f ca="1" t="shared" si="2" ref="L2:L18">INDIRECT(ADDRESS($M2,8))-INDIRECT(ADDRESS($M2,6))</f>
        <v>1103.6993412599659</v>
      </c>
      <c r="M2" s="78">
        <v>18</v>
      </c>
      <c r="N2" s="16" t="str">
        <f aca="true" t="shared" si="3" ref="N2:N18">I2</f>
        <v>Total Risk</v>
      </c>
      <c r="O2" s="78">
        <f>IF(V2&gt;W2,W2,V2)</f>
        <v>25555.14925892973</v>
      </c>
      <c r="P2" s="78">
        <f aca="true" t="shared" si="4" ref="P2:P18">IF($V2&gt;$W2,V2-O2,W2-O2)</f>
        <v>142.6286129840846</v>
      </c>
      <c r="R2" s="79">
        <f>IF($X2&gt;$W2,W2,X2)</f>
        <v>25697.777871913815</v>
      </c>
      <c r="S2" s="79">
        <f>IF($X2&gt;$W2,X2-W2,W2-X2)</f>
        <v>1103.6993412599659</v>
      </c>
      <c r="V2" s="11">
        <f ca="1" t="shared" si="5" ref="V2:V18">INDIRECT(ADDRESS($M2,4))</f>
        <v>25555.14925892973</v>
      </c>
      <c r="W2" s="79">
        <f ca="1" t="shared" si="6" ref="W2:W18">INDIRECT(ADDRESS($M2,6))</f>
        <v>25697.777871913815</v>
      </c>
      <c r="X2" s="79">
        <f ca="1" t="shared" si="7" ref="X2:X18">INDIRECT(ADDRESS($M2,8))</f>
        <v>26801.47721317378</v>
      </c>
    </row>
    <row r="3" spans="1:24" s="11" customFormat="1" ht="12.75">
      <c r="A3" s="10"/>
      <c r="B3" s="90" t="s">
        <v>1</v>
      </c>
      <c r="D3" s="16">
        <f>Forecast!G6*Forecast!E7*Data!D1*(Forecast!G11*Data!I12+Data!I13*Forecast!G12+Forecast!G13*Data!I14+Forecast!G43/100+((350000-Forecast!G15)*0.00000006))</f>
        <v>25697.777871913815</v>
      </c>
      <c r="F3" s="78">
        <f aca="true" t="shared" si="8" ref="F3:F16">F2</f>
        <v>25697.777871913815</v>
      </c>
      <c r="H3" s="16">
        <f>Forecast!G6*Forecast!I7*Data!D1*(Forecast!G11*Data!I12+Data!I13*Forecast!G12+Forecast!G13*Data!I14+Forecast!G43/100+((350000-Forecast!G15)*0.00000006))</f>
        <v>25697.777871913815</v>
      </c>
      <c r="I3" s="11" t="str">
        <f ca="1" t="shared" si="0"/>
        <v>Class Utilization</v>
      </c>
      <c r="J3" s="16">
        <f ca="1" t="shared" si="9" ref="J3:J18">INDIRECT(ADDRESS(M3,4))-INDIRECT(ADDRESS(M3,6))</f>
        <v>51.25561562363873</v>
      </c>
      <c r="K3" s="16">
        <f ca="1" t="shared" si="1"/>
        <v>0</v>
      </c>
      <c r="L3" s="16">
        <f ca="1" t="shared" si="2"/>
        <v>893.7319616845089</v>
      </c>
      <c r="M3" s="78">
        <f aca="true" t="shared" si="10" ref="M3:M18">M2-1</f>
        <v>17</v>
      </c>
      <c r="N3" s="16" t="str">
        <f t="shared" si="3"/>
        <v>Class Utilization</v>
      </c>
      <c r="O3" s="78">
        <f aca="true" t="shared" si="11" ref="O3:O18">IF(V3&gt;W3,W3,V3)</f>
        <v>25697.777871913815</v>
      </c>
      <c r="P3" s="78">
        <f t="shared" si="4"/>
        <v>51.25561562363873</v>
      </c>
      <c r="R3" s="79">
        <f aca="true" t="shared" si="12" ref="R3:R18">IF(X3&gt;W3,W3,X3)</f>
        <v>25697.777871913815</v>
      </c>
      <c r="S3" s="79">
        <f aca="true" t="shared" si="13" ref="S3:S18">IF($X3&gt;$W3,X3-W3,W3-X3)</f>
        <v>893.7319616845089</v>
      </c>
      <c r="V3" s="11">
        <f ca="1" t="shared" si="5"/>
        <v>25749.033487537454</v>
      </c>
      <c r="W3" s="79">
        <f ca="1" t="shared" si="6"/>
        <v>25697.777871913815</v>
      </c>
      <c r="X3" s="79">
        <f ca="1" t="shared" si="7"/>
        <v>26591.509833598324</v>
      </c>
    </row>
    <row r="4" spans="2:24" s="11" customFormat="1" ht="12.75">
      <c r="B4" s="90" t="s">
        <v>19</v>
      </c>
      <c r="D4" s="81">
        <f>Forecast!G6*Forecast!G7*Data!D1*(Forecast!E11*Data!I12+Data!I13*Forecast!G12+Forecast!G13*Data!I14+Forecast!G43/100+((350000-Forecast!G15)*0.00000006))</f>
        <v>25697.777871913815</v>
      </c>
      <c r="E4" s="10"/>
      <c r="F4" s="78">
        <f t="shared" si="8"/>
        <v>25697.777871913815</v>
      </c>
      <c r="G4" s="12"/>
      <c r="H4" s="81">
        <f>Forecast!G6*Forecast!G7*Data!D1*(Forecast!I11*Data!I12+Data!I13*Forecast!G12+Forecast!G13*Data!I14+Forecast!G43/100+((350000-Forecast!G15)*0.00000006))</f>
        <v>25697.777871913815</v>
      </c>
      <c r="I4" s="11" t="str">
        <f ca="1" t="shared" si="0"/>
        <v>Class I Differential</v>
      </c>
      <c r="J4" s="16">
        <f ca="1" t="shared" si="9"/>
        <v>407.23621742324394</v>
      </c>
      <c r="K4" s="16">
        <f ca="1" t="shared" si="1"/>
        <v>0</v>
      </c>
      <c r="L4" s="16">
        <f ca="1" t="shared" si="2"/>
        <v>407.23621742324394</v>
      </c>
      <c r="M4" s="78">
        <f t="shared" si="10"/>
        <v>16</v>
      </c>
      <c r="N4" s="16" t="str">
        <f t="shared" si="3"/>
        <v>Class I Differential</v>
      </c>
      <c r="O4" s="78">
        <f t="shared" si="11"/>
        <v>25697.777871913815</v>
      </c>
      <c r="P4" s="78">
        <f t="shared" si="4"/>
        <v>407.23621742324394</v>
      </c>
      <c r="R4" s="79">
        <f t="shared" si="12"/>
        <v>25697.777871913815</v>
      </c>
      <c r="S4" s="79">
        <f t="shared" si="13"/>
        <v>407.23621742324394</v>
      </c>
      <c r="V4" s="11">
        <f ca="1" t="shared" si="5"/>
        <v>26105.01408933706</v>
      </c>
      <c r="W4" s="79">
        <f ca="1" t="shared" si="6"/>
        <v>25697.777871913815</v>
      </c>
      <c r="X4" s="79">
        <f ca="1" t="shared" si="7"/>
        <v>26105.01408933706</v>
      </c>
    </row>
    <row r="5" spans="2:24" s="11" customFormat="1" ht="12.75">
      <c r="B5" s="90" t="s">
        <v>20</v>
      </c>
      <c r="D5" s="16">
        <f>Forecast!G6*Forecast!G7*Data!D1*(Forecast!G11*Data!I12+Data!I13*Forecast!E12+Forecast!G13*Data!I14+Forecast!G43/100+((350000-Forecast!G15)*0.00000006))</f>
        <v>25697.777871913815</v>
      </c>
      <c r="F5" s="78">
        <f t="shared" si="8"/>
        <v>25697.777871913815</v>
      </c>
      <c r="H5" s="89">
        <f>Forecast!G6*Forecast!G7*Data!D1*(Forecast!G11*Data!I12+Data!I13*Forecast!I12+Forecast!G13*Data!I14+Forecast!G43/100+((350000-Forecast!G15)*0.00000006))</f>
        <v>25697.777871913815</v>
      </c>
      <c r="I5" s="11" t="str">
        <f ca="1" t="shared" si="0"/>
        <v>Two-Week Advance NFDM Price</v>
      </c>
      <c r="J5" s="16">
        <f ca="1" t="shared" si="9"/>
        <v>376.5563472579561</v>
      </c>
      <c r="K5" s="16">
        <f ca="1" t="shared" si="1"/>
        <v>0</v>
      </c>
      <c r="L5" s="16">
        <f ca="1" t="shared" si="2"/>
        <v>480.99327155257197</v>
      </c>
      <c r="M5" s="78">
        <f t="shared" si="10"/>
        <v>15</v>
      </c>
      <c r="N5" s="16" t="str">
        <f t="shared" si="3"/>
        <v>Two-Week Advance NFDM Price</v>
      </c>
      <c r="O5" s="78">
        <f t="shared" si="11"/>
        <v>25697.777871913815</v>
      </c>
      <c r="P5" s="78">
        <f t="shared" si="4"/>
        <v>376.5563472579561</v>
      </c>
      <c r="R5" s="79">
        <f t="shared" si="12"/>
        <v>25697.777871913815</v>
      </c>
      <c r="S5" s="79">
        <f t="shared" si="13"/>
        <v>480.99327155257197</v>
      </c>
      <c r="V5" s="11">
        <f ca="1" t="shared" si="5"/>
        <v>26074.33421917177</v>
      </c>
      <c r="W5" s="79">
        <f ca="1" t="shared" si="6"/>
        <v>25697.777871913815</v>
      </c>
      <c r="X5" s="79">
        <f ca="1" t="shared" si="7"/>
        <v>26178.771143466387</v>
      </c>
    </row>
    <row r="6" spans="2:24" s="11" customFormat="1" ht="12.75">
      <c r="B6" s="90" t="s">
        <v>21</v>
      </c>
      <c r="D6" s="16">
        <f>Forecast!G6*Forecast!G7*Data!D1*(Forecast!G11*Data!I12+Data!I13*Forecast!G12+Forecast!E13*Data!I14+Forecast!G43/100+((350000-Forecast!G15)*0.00000006))</f>
        <v>25697.777871913815</v>
      </c>
      <c r="F6" s="78">
        <f t="shared" si="8"/>
        <v>25697.777871913815</v>
      </c>
      <c r="G6" s="16"/>
      <c r="H6" s="89">
        <f>Forecast!G6*Forecast!G7*Data!D1*(Forecast!G11*Data!I12+Data!I13*Forecast!G12+Forecast!I13*Data!I14+Forecast!G43/100+((350000-Forecast!G15)*0.00000006))</f>
        <v>25697.777871913815</v>
      </c>
      <c r="I6" s="11" t="str">
        <f ca="1" t="shared" si="0"/>
        <v>Two-Week Advance Whey Price</v>
      </c>
      <c r="J6" s="16">
        <f ca="1" t="shared" si="9"/>
        <v>407.23621742324394</v>
      </c>
      <c r="K6" s="16">
        <f ca="1" t="shared" si="1"/>
        <v>0</v>
      </c>
      <c r="L6" s="16">
        <f ca="1" t="shared" si="2"/>
        <v>442.8088289934931</v>
      </c>
      <c r="M6" s="78">
        <f t="shared" si="10"/>
        <v>14</v>
      </c>
      <c r="N6" s="16" t="str">
        <f t="shared" si="3"/>
        <v>Two-Week Advance Whey Price</v>
      </c>
      <c r="O6" s="78">
        <f t="shared" si="11"/>
        <v>25697.777871913815</v>
      </c>
      <c r="P6" s="78">
        <f t="shared" si="4"/>
        <v>407.23621742324394</v>
      </c>
      <c r="R6" s="79">
        <f t="shared" si="12"/>
        <v>25697.777871913815</v>
      </c>
      <c r="S6" s="79">
        <f t="shared" si="13"/>
        <v>442.8088289934931</v>
      </c>
      <c r="V6" s="11">
        <f ca="1" t="shared" si="5"/>
        <v>26105.01408933706</v>
      </c>
      <c r="W6" s="79">
        <f ca="1" t="shared" si="6"/>
        <v>25697.777871913815</v>
      </c>
      <c r="X6" s="79">
        <f ca="1" t="shared" si="7"/>
        <v>26140.586700907308</v>
      </c>
    </row>
    <row r="7" spans="2:24" s="11" customFormat="1" ht="12.75">
      <c r="B7" s="91" t="s">
        <v>22</v>
      </c>
      <c r="D7" s="16">
        <f>Forecast!G6*Forecast!G7*Data!D1*(Forecast!G11*Data!I12+Data!I13*Forecast!G12+Forecast!G13*Data!I14+Forecast!G43/100+((350000-Forecast!E15)*0.00000006))</f>
        <v>25697.777871913815</v>
      </c>
      <c r="F7" s="78">
        <f t="shared" si="8"/>
        <v>25697.777871913815</v>
      </c>
      <c r="G7" s="16"/>
      <c r="H7" s="89">
        <f>Forecast!G6*Forecast!G7*Data!D1*(Forecast!G11*Data!I12+Data!I13*Forecast!G12+Forecast!G13*Data!I14+Forecast!G43/100+((350000-Forecast!I15)*0.00000006))</f>
        <v>25697.777871913815</v>
      </c>
      <c r="I7" s="11" t="str">
        <f ca="1" t="shared" si="0"/>
        <v>Two-Week Advance Cheese Price</v>
      </c>
      <c r="J7" s="16">
        <f ca="1" t="shared" si="9"/>
        <v>680.9360964999723</v>
      </c>
      <c r="K7" s="16">
        <f ca="1" t="shared" si="1"/>
        <v>0</v>
      </c>
      <c r="L7" s="16">
        <f ca="1" t="shared" si="2"/>
        <v>1025.7743543862853</v>
      </c>
      <c r="M7" s="78">
        <f t="shared" si="10"/>
        <v>13</v>
      </c>
      <c r="N7" s="16" t="str">
        <f t="shared" si="3"/>
        <v>Two-Week Advance Cheese Price</v>
      </c>
      <c r="O7" s="78">
        <f t="shared" si="11"/>
        <v>25697.777871913815</v>
      </c>
      <c r="P7" s="78">
        <f t="shared" si="4"/>
        <v>680.9360964999723</v>
      </c>
      <c r="R7" s="79">
        <f t="shared" si="12"/>
        <v>25697.777871913815</v>
      </c>
      <c r="S7" s="79">
        <f t="shared" si="13"/>
        <v>1025.7743543862853</v>
      </c>
      <c r="V7" s="11">
        <f ca="1" t="shared" si="5"/>
        <v>26378.713968413787</v>
      </c>
      <c r="W7" s="79">
        <f ca="1" t="shared" si="6"/>
        <v>25697.777871913815</v>
      </c>
      <c r="X7" s="79">
        <f ca="1" t="shared" si="7"/>
        <v>26723.5522263001</v>
      </c>
    </row>
    <row r="8" spans="2:24" s="11" customFormat="1" ht="12.75">
      <c r="B8" t="s">
        <v>56</v>
      </c>
      <c r="D8" s="16">
        <f ca="1">INDIRECT(ADDRESS(104,26+'Risk Comparison'!G8,,,"Data"))</f>
        <v>25674.300058507793</v>
      </c>
      <c r="F8" s="78">
        <f t="shared" si="8"/>
        <v>25697.777871913815</v>
      </c>
      <c r="G8" s="15">
        <v>1</v>
      </c>
      <c r="H8" s="89">
        <f ca="1">INDIRECT(ADDRESS(82,26+'Risk Comparison'!G8,,,"Data"))</f>
        <v>26535.728120166328</v>
      </c>
      <c r="I8" s="11" t="str">
        <f ca="1" t="shared" si="0"/>
        <v>Two-Week Advance Butter Price</v>
      </c>
      <c r="J8" s="16">
        <f ca="1" t="shared" si="9"/>
        <v>396.91182413544084</v>
      </c>
      <c r="K8" s="16">
        <f ca="1" t="shared" si="1"/>
        <v>0</v>
      </c>
      <c r="L8" s="16">
        <f ca="1" t="shared" si="2"/>
        <v>798.3534578940344</v>
      </c>
      <c r="M8" s="78">
        <f t="shared" si="10"/>
        <v>12</v>
      </c>
      <c r="N8" s="16" t="str">
        <f t="shared" si="3"/>
        <v>Two-Week Advance Butter Price</v>
      </c>
      <c r="O8" s="78">
        <f t="shared" si="11"/>
        <v>25697.777871913815</v>
      </c>
      <c r="P8" s="78">
        <f t="shared" si="4"/>
        <v>396.91182413544084</v>
      </c>
      <c r="R8" s="79">
        <f t="shared" si="12"/>
        <v>25697.777871913815</v>
      </c>
      <c r="S8" s="79">
        <f t="shared" si="13"/>
        <v>798.3534578940344</v>
      </c>
      <c r="V8" s="11">
        <f ca="1" t="shared" si="5"/>
        <v>26094.689696049256</v>
      </c>
      <c r="W8" s="79">
        <f ca="1" t="shared" si="6"/>
        <v>25697.777871913815</v>
      </c>
      <c r="X8" s="79">
        <f ca="1" t="shared" si="7"/>
        <v>26496.13132980785</v>
      </c>
    </row>
    <row r="9" spans="2:24" s="11" customFormat="1" ht="12.75">
      <c r="B9" t="s">
        <v>57</v>
      </c>
      <c r="D9" s="16">
        <f ca="1">INDIRECT(ADDRESS(104,26+'Risk Comparison'!G9,,,"Data"))</f>
        <v>26365.2446611355</v>
      </c>
      <c r="F9" s="78">
        <f t="shared" si="8"/>
        <v>25697.777871913815</v>
      </c>
      <c r="G9" s="15">
        <f aca="true" t="shared" si="14" ref="G9:G18">G8+1</f>
        <v>2</v>
      </c>
      <c r="H9" s="89">
        <f ca="1">INDIRECT(ADDRESS(82,26+'Risk Comparison'!G9,,,"Data"))</f>
        <v>25571.881576068823</v>
      </c>
      <c r="I9" s="11" t="str">
        <f ca="1" t="shared" si="0"/>
        <v>Non-Fat Dry Milk Price</v>
      </c>
      <c r="J9" s="16">
        <f ca="1" t="shared" si="9"/>
        <v>407.23621742324394</v>
      </c>
      <c r="K9" s="16">
        <f ca="1" t="shared" si="1"/>
        <v>0</v>
      </c>
      <c r="L9" s="16">
        <f ca="1" t="shared" si="2"/>
        <v>407.23621742324394</v>
      </c>
      <c r="M9" s="78">
        <f t="shared" si="10"/>
        <v>11</v>
      </c>
      <c r="N9" s="16" t="str">
        <f t="shared" si="3"/>
        <v>Non-Fat Dry Milk Price</v>
      </c>
      <c r="O9" s="78">
        <f t="shared" si="11"/>
        <v>25697.777871913815</v>
      </c>
      <c r="P9" s="78">
        <f t="shared" si="4"/>
        <v>407.23621742324394</v>
      </c>
      <c r="R9" s="79">
        <f t="shared" si="12"/>
        <v>25697.777871913815</v>
      </c>
      <c r="S9" s="79">
        <f t="shared" si="13"/>
        <v>407.23621742324394</v>
      </c>
      <c r="V9" s="11">
        <f ca="1" t="shared" si="5"/>
        <v>26105.01408933706</v>
      </c>
      <c r="W9" s="79">
        <f ca="1" t="shared" si="6"/>
        <v>25697.777871913815</v>
      </c>
      <c r="X9" s="79">
        <f ca="1" t="shared" si="7"/>
        <v>26105.01408933706</v>
      </c>
    </row>
    <row r="10" spans="2:24" s="11" customFormat="1" ht="12.75">
      <c r="B10" t="s">
        <v>58</v>
      </c>
      <c r="D10" s="16">
        <f ca="1">INDIRECT(ADDRESS(104,26+'Risk Comparison'!G10,,,"Data"))</f>
        <v>26158.78950177507</v>
      </c>
      <c r="F10" s="78">
        <f t="shared" si="8"/>
        <v>25697.777871913815</v>
      </c>
      <c r="G10" s="15">
        <f t="shared" si="14"/>
        <v>3</v>
      </c>
      <c r="H10" s="89">
        <f ca="1">INDIRECT(ADDRESS(82,26+'Risk Comparison'!G10,,,"Data"))</f>
        <v>26324.5055686759</v>
      </c>
      <c r="I10" s="11" t="str">
        <f ca="1" t="shared" si="0"/>
        <v>Whey Price</v>
      </c>
      <c r="J10" s="16">
        <f ca="1" t="shared" si="9"/>
        <v>461.01162986125564</v>
      </c>
      <c r="K10" s="16">
        <f ca="1" t="shared" si="1"/>
        <v>0</v>
      </c>
      <c r="L10" s="16">
        <f ca="1" t="shared" si="2"/>
        <v>626.7276967620855</v>
      </c>
      <c r="M10" s="78">
        <f t="shared" si="10"/>
        <v>10</v>
      </c>
      <c r="N10" s="16" t="str">
        <f t="shared" si="3"/>
        <v>Whey Price</v>
      </c>
      <c r="O10" s="78">
        <f t="shared" si="11"/>
        <v>25697.777871913815</v>
      </c>
      <c r="P10" s="78">
        <f t="shared" si="4"/>
        <v>461.01162986125564</v>
      </c>
      <c r="R10" s="79">
        <f t="shared" si="12"/>
        <v>25697.777871913815</v>
      </c>
      <c r="S10" s="79">
        <f t="shared" si="13"/>
        <v>626.7276967620855</v>
      </c>
      <c r="V10" s="11">
        <f ca="1" t="shared" si="5"/>
        <v>26158.78950177507</v>
      </c>
      <c r="W10" s="79">
        <f ca="1" t="shared" si="6"/>
        <v>25697.777871913815</v>
      </c>
      <c r="X10" s="79">
        <f ca="1" t="shared" si="7"/>
        <v>26324.5055686759</v>
      </c>
    </row>
    <row r="11" spans="2:24" s="11" customFormat="1" ht="12.75">
      <c r="B11" t="s">
        <v>59</v>
      </c>
      <c r="D11" s="16">
        <f ca="1">INDIRECT(ADDRESS(104,26+'Risk Comparison'!G11,,,"Data"))</f>
        <v>26105.01408933706</v>
      </c>
      <c r="F11" s="78">
        <f t="shared" si="8"/>
        <v>25697.777871913815</v>
      </c>
      <c r="G11" s="15">
        <f t="shared" si="14"/>
        <v>4</v>
      </c>
      <c r="H11" s="89">
        <f ca="1">INDIRECT(ADDRESS(82,26+'Risk Comparison'!G11,,,"Data"))</f>
        <v>26105.01408933706</v>
      </c>
      <c r="I11" s="11" t="str">
        <f ca="1" t="shared" si="0"/>
        <v>Cheese Price</v>
      </c>
      <c r="J11" s="16">
        <f ca="1" t="shared" si="9"/>
        <v>667.4667892216858</v>
      </c>
      <c r="K11" s="16">
        <f ca="1" t="shared" si="1"/>
        <v>0</v>
      </c>
      <c r="L11" s="16">
        <f ca="1" t="shared" si="2"/>
        <v>-125.89629584499198</v>
      </c>
      <c r="M11" s="78">
        <f t="shared" si="10"/>
        <v>9</v>
      </c>
      <c r="N11" s="16" t="str">
        <f t="shared" si="3"/>
        <v>Cheese Price</v>
      </c>
      <c r="O11" s="78">
        <f t="shared" si="11"/>
        <v>25697.777871913815</v>
      </c>
      <c r="P11" s="78">
        <f t="shared" si="4"/>
        <v>667.4667892216858</v>
      </c>
      <c r="R11" s="79">
        <f t="shared" si="12"/>
        <v>25571.881576068823</v>
      </c>
      <c r="S11" s="79">
        <f t="shared" si="13"/>
        <v>125.89629584499198</v>
      </c>
      <c r="V11" s="11">
        <f ca="1" t="shared" si="5"/>
        <v>26365.2446611355</v>
      </c>
      <c r="W11" s="79">
        <f ca="1" t="shared" si="6"/>
        <v>25697.777871913815</v>
      </c>
      <c r="X11" s="79">
        <f ca="1" t="shared" si="7"/>
        <v>25571.881576068823</v>
      </c>
    </row>
    <row r="12" spans="2:24" s="11" customFormat="1" ht="12.75">
      <c r="B12" t="s">
        <v>82</v>
      </c>
      <c r="D12" s="16">
        <f ca="1">INDIRECT(ADDRESS(104,26+'Risk Comparison'!G12,,,"Data"))</f>
        <v>26094.689696049256</v>
      </c>
      <c r="F12" s="78">
        <f t="shared" si="8"/>
        <v>25697.777871913815</v>
      </c>
      <c r="G12" s="15">
        <f t="shared" si="14"/>
        <v>5</v>
      </c>
      <c r="H12" s="89">
        <f ca="1">INDIRECT(ADDRESS(82,26+'Risk Comparison'!G12,,,"Data"))</f>
        <v>26496.13132980785</v>
      </c>
      <c r="I12" s="11" t="str">
        <f ca="1" t="shared" si="0"/>
        <v>Butter Price</v>
      </c>
      <c r="J12" s="16">
        <f ca="1" t="shared" si="9"/>
        <v>-23.477813406021596</v>
      </c>
      <c r="K12" s="16">
        <f ca="1" t="shared" si="1"/>
        <v>0</v>
      </c>
      <c r="L12" s="16">
        <f ca="1" t="shared" si="2"/>
        <v>837.9502482525131</v>
      </c>
      <c r="M12" s="78">
        <f t="shared" si="10"/>
        <v>8</v>
      </c>
      <c r="N12" s="16" t="str">
        <f t="shared" si="3"/>
        <v>Butter Price</v>
      </c>
      <c r="O12" s="78">
        <f t="shared" si="11"/>
        <v>25674.300058507793</v>
      </c>
      <c r="P12" s="78">
        <f t="shared" si="4"/>
        <v>23.477813406021596</v>
      </c>
      <c r="R12" s="79">
        <f t="shared" si="12"/>
        <v>25697.777871913815</v>
      </c>
      <c r="S12" s="79">
        <f t="shared" si="13"/>
        <v>837.9502482525131</v>
      </c>
      <c r="V12" s="11">
        <f ca="1" t="shared" si="5"/>
        <v>25674.300058507793</v>
      </c>
      <c r="W12" s="79">
        <f ca="1" t="shared" si="6"/>
        <v>25697.777871913815</v>
      </c>
      <c r="X12" s="79">
        <f ca="1" t="shared" si="7"/>
        <v>26535.728120166328</v>
      </c>
    </row>
    <row r="13" spans="2:24" s="11" customFormat="1" ht="12.75">
      <c r="B13" t="s">
        <v>83</v>
      </c>
      <c r="D13" s="16">
        <f ca="1">INDIRECT(ADDRESS(104,26+'Risk Comparison'!G13,,,"Data"))</f>
        <v>26378.713968413787</v>
      </c>
      <c r="F13" s="78">
        <f t="shared" si="8"/>
        <v>25697.777871913815</v>
      </c>
      <c r="G13" s="15">
        <f t="shared" si="14"/>
        <v>6</v>
      </c>
      <c r="H13" s="89">
        <f ca="1">INDIRECT(ADDRESS(82,26+'Risk Comparison'!G13,,,"Data"))</f>
        <v>26723.5522263001</v>
      </c>
      <c r="I13" s="11" t="str">
        <f ca="1" t="shared" si="0"/>
        <v>Somatic Cell Count</v>
      </c>
      <c r="J13" s="16">
        <f ca="1" t="shared" si="9"/>
        <v>0</v>
      </c>
      <c r="K13" s="16">
        <f ca="1" t="shared" si="1"/>
        <v>0</v>
      </c>
      <c r="L13" s="16">
        <f ca="1" t="shared" si="2"/>
        <v>0</v>
      </c>
      <c r="M13" s="78">
        <f t="shared" si="10"/>
        <v>7</v>
      </c>
      <c r="N13" s="16" t="str">
        <f t="shared" si="3"/>
        <v>Somatic Cell Count</v>
      </c>
      <c r="O13" s="78">
        <f t="shared" si="11"/>
        <v>25697.777871913815</v>
      </c>
      <c r="P13" s="78">
        <f t="shared" si="4"/>
        <v>0</v>
      </c>
      <c r="R13" s="79">
        <f t="shared" si="12"/>
        <v>25697.777871913815</v>
      </c>
      <c r="S13" s="79">
        <f t="shared" si="13"/>
        <v>0</v>
      </c>
      <c r="V13" s="11">
        <f ca="1" t="shared" si="5"/>
        <v>25697.777871913815</v>
      </c>
      <c r="W13" s="79">
        <f ca="1" t="shared" si="6"/>
        <v>25697.777871913815</v>
      </c>
      <c r="X13" s="79">
        <f ca="1" t="shared" si="7"/>
        <v>25697.777871913815</v>
      </c>
    </row>
    <row r="14" spans="2:24" s="11" customFormat="1" ht="12.75">
      <c r="B14" t="s">
        <v>84</v>
      </c>
      <c r="D14" s="16">
        <f ca="1">INDIRECT(ADDRESS(104,26+'Risk Comparison'!G14,,,"Data"))</f>
        <v>26105.01408933706</v>
      </c>
      <c r="F14" s="78">
        <f t="shared" si="8"/>
        <v>25697.777871913815</v>
      </c>
      <c r="G14" s="15">
        <f t="shared" si="14"/>
        <v>7</v>
      </c>
      <c r="H14" s="89">
        <f ca="1">INDIRECT(ADDRESS(82,26+'Risk Comparison'!G14,,,"Data"))</f>
        <v>26140.586700907308</v>
      </c>
      <c r="I14" s="11" t="str">
        <f ca="1" t="shared" si="0"/>
        <v>Other Solids %</v>
      </c>
      <c r="J14" s="16">
        <f ca="1" t="shared" si="9"/>
        <v>0</v>
      </c>
      <c r="K14" s="16">
        <f ca="1" t="shared" si="1"/>
        <v>0</v>
      </c>
      <c r="L14" s="16">
        <f ca="1" t="shared" si="2"/>
        <v>0</v>
      </c>
      <c r="M14" s="78">
        <f t="shared" si="10"/>
        <v>6</v>
      </c>
      <c r="N14" s="16" t="str">
        <f t="shared" si="3"/>
        <v>Other Solids %</v>
      </c>
      <c r="O14" s="78">
        <f t="shared" si="11"/>
        <v>25697.777871913815</v>
      </c>
      <c r="P14" s="78">
        <f t="shared" si="4"/>
        <v>0</v>
      </c>
      <c r="R14" s="79">
        <f t="shared" si="12"/>
        <v>25697.777871913815</v>
      </c>
      <c r="S14" s="79">
        <f t="shared" si="13"/>
        <v>0</v>
      </c>
      <c r="V14" s="11">
        <f ca="1" t="shared" si="5"/>
        <v>25697.777871913815</v>
      </c>
      <c r="W14" s="79">
        <f ca="1" t="shared" si="6"/>
        <v>25697.777871913815</v>
      </c>
      <c r="X14" s="79">
        <f ca="1" t="shared" si="7"/>
        <v>25697.777871913815</v>
      </c>
    </row>
    <row r="15" spans="2:24" s="11" customFormat="1" ht="12.75">
      <c r="B15" t="s">
        <v>76</v>
      </c>
      <c r="D15" s="16">
        <f ca="1">INDIRECT(ADDRESS(104,26+'Risk Comparison'!G15,,,"Data"))</f>
        <v>26074.33421917177</v>
      </c>
      <c r="F15" s="78">
        <f t="shared" si="8"/>
        <v>25697.777871913815</v>
      </c>
      <c r="G15" s="15">
        <f t="shared" si="14"/>
        <v>8</v>
      </c>
      <c r="H15" s="89">
        <f ca="1">INDIRECT(ADDRESS(82,26+'Risk Comparison'!G15,,,"Data"))</f>
        <v>26178.771143466387</v>
      </c>
      <c r="I15" s="11" t="str">
        <f ca="1" t="shared" si="0"/>
        <v>Protein %</v>
      </c>
      <c r="J15" s="16">
        <f ca="1" t="shared" si="9"/>
        <v>0</v>
      </c>
      <c r="K15" s="16">
        <f ca="1" t="shared" si="1"/>
        <v>0</v>
      </c>
      <c r="L15" s="16">
        <f ca="1" t="shared" si="2"/>
        <v>0</v>
      </c>
      <c r="M15" s="78">
        <f t="shared" si="10"/>
        <v>5</v>
      </c>
      <c r="N15" s="16" t="str">
        <f t="shared" si="3"/>
        <v>Protein %</v>
      </c>
      <c r="O15" s="78">
        <f t="shared" si="11"/>
        <v>25697.777871913815</v>
      </c>
      <c r="P15" s="78">
        <f t="shared" si="4"/>
        <v>0</v>
      </c>
      <c r="R15" s="79">
        <f t="shared" si="12"/>
        <v>25697.777871913815</v>
      </c>
      <c r="S15" s="79">
        <f t="shared" si="13"/>
        <v>0</v>
      </c>
      <c r="V15" s="11">
        <f ca="1" t="shared" si="5"/>
        <v>25697.777871913815</v>
      </c>
      <c r="W15" s="79">
        <f ca="1" t="shared" si="6"/>
        <v>25697.777871913815</v>
      </c>
      <c r="X15" s="79">
        <f ca="1" t="shared" si="7"/>
        <v>25697.777871913815</v>
      </c>
    </row>
    <row r="16" spans="2:24" s="11" customFormat="1" ht="12.75">
      <c r="B16" s="91" t="s">
        <v>93</v>
      </c>
      <c r="D16" s="16">
        <f ca="1">INDIRECT(ADDRESS(28,26+'Risk Comparison'!G16,,,"Data"))</f>
        <v>26105.01408933706</v>
      </c>
      <c r="F16" s="78">
        <f t="shared" si="8"/>
        <v>25697.777871913815</v>
      </c>
      <c r="G16" s="15">
        <f t="shared" si="14"/>
        <v>9</v>
      </c>
      <c r="H16" s="89">
        <f ca="1">INDIRECT(ADDRESS(57,26+'Risk Comparison'!G16,,,"Data"))</f>
        <v>26105.01408933706</v>
      </c>
      <c r="I16" s="11" t="str">
        <f ca="1" t="shared" si="0"/>
        <v>Fat %</v>
      </c>
      <c r="J16" s="16">
        <f ca="1" t="shared" si="9"/>
        <v>0</v>
      </c>
      <c r="K16" s="16">
        <f ca="1" t="shared" si="1"/>
        <v>0</v>
      </c>
      <c r="L16" s="16">
        <f ca="1" t="shared" si="2"/>
        <v>0</v>
      </c>
      <c r="M16" s="78">
        <f t="shared" si="10"/>
        <v>4</v>
      </c>
      <c r="N16" s="16" t="str">
        <f t="shared" si="3"/>
        <v>Fat %</v>
      </c>
      <c r="O16" s="78">
        <f t="shared" si="11"/>
        <v>25697.777871913815</v>
      </c>
      <c r="P16" s="78">
        <f t="shared" si="4"/>
        <v>0</v>
      </c>
      <c r="R16" s="79">
        <f t="shared" si="12"/>
        <v>25697.777871913815</v>
      </c>
      <c r="S16" s="79">
        <f t="shared" si="13"/>
        <v>0</v>
      </c>
      <c r="V16" s="11">
        <f ca="1" t="shared" si="5"/>
        <v>25697.777871913815</v>
      </c>
      <c r="W16" s="79">
        <f ca="1" t="shared" si="6"/>
        <v>25697.777871913815</v>
      </c>
      <c r="X16" s="79">
        <f ca="1" t="shared" si="7"/>
        <v>25697.777871913815</v>
      </c>
    </row>
    <row r="17" spans="2:24" s="11" customFormat="1" ht="12.75">
      <c r="B17" s="92" t="s">
        <v>153</v>
      </c>
      <c r="D17" s="16">
        <f>Forecast!G6*Forecast!G7*Data!D1*(Forecast!G11*Data!I12+Data!I13*Forecast!G12+Forecast!G13*Data!I14+Forecast!E43/100+((350000-Forecast!G15)*0.00000006))</f>
        <v>25749.033487537454</v>
      </c>
      <c r="F17" s="78">
        <f>Forecast!G6*Forecast!G7*Data!D1*(Forecast!G11*Data!I12+Data!I13*Forecast!G12+Forecast!G13*Data!I14+Forecast!G43/100+((350000-Forecast!G15)*0.00000006))</f>
        <v>25697.777871913815</v>
      </c>
      <c r="G17" s="15">
        <f t="shared" si="14"/>
        <v>10</v>
      </c>
      <c r="H17" s="89">
        <f>Forecast!G6*Forecast!G7*Data!D1*(Forecast!G11*Data!I12+Data!I13*Forecast!G12+Forecast!G13*Data!I14+Forecast!I43/100+((350000-Forecast!G15)*0.00000006))</f>
        <v>26591.509833598324</v>
      </c>
      <c r="I17" s="11" t="str">
        <f ca="1" t="shared" si="0"/>
        <v>Average Daily Production (Lbs.)</v>
      </c>
      <c r="J17" s="16">
        <f ca="1" t="shared" si="9"/>
        <v>0</v>
      </c>
      <c r="K17" s="16">
        <f ca="1" t="shared" si="1"/>
        <v>0</v>
      </c>
      <c r="L17" s="16">
        <f ca="1" t="shared" si="2"/>
        <v>0</v>
      </c>
      <c r="M17" s="78">
        <f t="shared" si="10"/>
        <v>3</v>
      </c>
      <c r="N17" s="16" t="str">
        <f t="shared" si="3"/>
        <v>Average Daily Production (Lbs.)</v>
      </c>
      <c r="O17" s="78">
        <f t="shared" si="11"/>
        <v>25697.777871913815</v>
      </c>
      <c r="P17" s="78">
        <f t="shared" si="4"/>
        <v>0</v>
      </c>
      <c r="R17" s="79">
        <f t="shared" si="12"/>
        <v>25697.777871913815</v>
      </c>
      <c r="S17" s="79">
        <f t="shared" si="13"/>
        <v>0</v>
      </c>
      <c r="V17" s="11">
        <f ca="1" t="shared" si="5"/>
        <v>25697.777871913815</v>
      </c>
      <c r="W17" s="79">
        <f ca="1" t="shared" si="6"/>
        <v>25697.777871913815</v>
      </c>
      <c r="X17" s="79">
        <f ca="1" t="shared" si="7"/>
        <v>25697.777871913815</v>
      </c>
    </row>
    <row r="18" spans="2:24" s="11" customFormat="1" ht="12.75">
      <c r="B18" s="77" t="s">
        <v>152</v>
      </c>
      <c r="D18" s="16">
        <f>Forecast!E6*Forecast!E7*Data!D1*(Forecast!E11*Data!G12+Data!G13*Forecast!E12+Forecast!E13*Data!G14+Forecast!E43/100+((350000-Forecast!E15)*0.00000006))</f>
        <v>25555.14925892973</v>
      </c>
      <c r="F18" s="78">
        <f>F7</f>
        <v>25697.777871913815</v>
      </c>
      <c r="G18" s="15">
        <f t="shared" si="14"/>
        <v>11</v>
      </c>
      <c r="H18" s="16">
        <f>Forecast!I6*Forecast!I7*Data!D1*(Forecast!I11*Data!K12+Data!K13*Forecast!I12+Forecast!I13*Data!K14+Forecast!I43/100+((350000-Forecast!I15)*0.00000006))</f>
        <v>26801.47721317378</v>
      </c>
      <c r="I18" s="11" t="str">
        <f ca="1" t="shared" si="0"/>
        <v>Average Number of Cows</v>
      </c>
      <c r="J18" s="16">
        <f ca="1" t="shared" si="9"/>
        <v>0</v>
      </c>
      <c r="K18" s="16">
        <f ca="1" t="shared" si="1"/>
        <v>0</v>
      </c>
      <c r="L18" s="16">
        <f ca="1" t="shared" si="2"/>
        <v>0</v>
      </c>
      <c r="M18" s="78">
        <f t="shared" si="10"/>
        <v>2</v>
      </c>
      <c r="N18" s="16" t="str">
        <f t="shared" si="3"/>
        <v>Average Number of Cows</v>
      </c>
      <c r="O18" s="78">
        <f t="shared" si="11"/>
        <v>25697.777871913815</v>
      </c>
      <c r="P18" s="78">
        <f t="shared" si="4"/>
        <v>0</v>
      </c>
      <c r="R18" s="79">
        <f t="shared" si="12"/>
        <v>25697.777871913815</v>
      </c>
      <c r="S18" s="79">
        <f t="shared" si="13"/>
        <v>0</v>
      </c>
      <c r="V18" s="11">
        <f ca="1" t="shared" si="5"/>
        <v>25697.777871913815</v>
      </c>
      <c r="W18" s="79">
        <f ca="1" t="shared" si="6"/>
        <v>25697.777871913815</v>
      </c>
      <c r="X18" s="79">
        <f ca="1" t="shared" si="7"/>
        <v>25697.777871913815</v>
      </c>
    </row>
    <row r="19" spans="2:19" s="11" customFormat="1" ht="12.75">
      <c r="B19" s="77"/>
      <c r="D19" s="16"/>
      <c r="F19" s="78"/>
      <c r="H19" s="16"/>
      <c r="J19" s="16"/>
      <c r="K19" s="16"/>
      <c r="L19" s="16"/>
      <c r="M19" s="78"/>
      <c r="N19" s="78"/>
      <c r="O19" s="78"/>
      <c r="P19" s="78"/>
      <c r="R19" s="79"/>
      <c r="S19" s="79"/>
    </row>
    <row r="20" spans="2:14" s="11" customFormat="1" ht="12.75">
      <c r="B20" s="77" t="s">
        <v>161</v>
      </c>
      <c r="D20" s="16"/>
      <c r="F20" s="78"/>
      <c r="H20" s="16"/>
      <c r="J20" s="16"/>
      <c r="K20" s="16"/>
      <c r="L20" s="16"/>
      <c r="M20" s="78"/>
      <c r="N20" s="78"/>
    </row>
    <row r="21" spans="2:14" s="11" customFormat="1" ht="12.75">
      <c r="B21" s="77"/>
      <c r="D21" s="16"/>
      <c r="F21" s="78"/>
      <c r="H21" s="16"/>
      <c r="J21" s="16"/>
      <c r="K21" s="16"/>
      <c r="L21" s="16"/>
      <c r="M21" s="78"/>
      <c r="N21" s="78"/>
    </row>
    <row r="22" spans="2:14" s="11" customFormat="1" ht="12.75">
      <c r="B22" s="77"/>
      <c r="D22" s="16"/>
      <c r="F22" s="78"/>
      <c r="H22" s="16"/>
      <c r="J22" s="16"/>
      <c r="K22" s="16"/>
      <c r="L22" s="16"/>
      <c r="M22" s="78"/>
      <c r="N22" s="78"/>
    </row>
    <row r="23" spans="2:14" s="11" customFormat="1" ht="12.75">
      <c r="B23" s="77"/>
      <c r="D23" s="16"/>
      <c r="F23" s="78"/>
      <c r="H23" s="16"/>
      <c r="J23" s="16"/>
      <c r="K23" s="16"/>
      <c r="L23" s="16"/>
      <c r="M23" s="78"/>
      <c r="N23" s="78"/>
    </row>
    <row r="24" spans="2:14" s="11" customFormat="1" ht="12.75">
      <c r="B24" s="77"/>
      <c r="D24" s="16"/>
      <c r="F24" s="78"/>
      <c r="H24" s="16"/>
      <c r="J24" s="16"/>
      <c r="K24" s="16"/>
      <c r="L24" s="16"/>
      <c r="M24" s="78"/>
      <c r="N24" s="78"/>
    </row>
    <row r="25" spans="2:15" s="11" customFormat="1" ht="12.75">
      <c r="B25" s="77"/>
      <c r="D25" s="16"/>
      <c r="F25" s="78"/>
      <c r="H25" s="16"/>
      <c r="J25" s="16"/>
      <c r="L25" s="78"/>
      <c r="N25" s="78"/>
      <c r="O25" s="78"/>
    </row>
    <row r="26" spans="1:15" ht="12.75">
      <c r="A26" s="11"/>
      <c r="B26" s="77"/>
      <c r="C26" s="11"/>
      <c r="D26" s="16"/>
      <c r="E26" s="11"/>
      <c r="F26" s="78"/>
      <c r="G26" s="11"/>
      <c r="H26" s="16"/>
      <c r="J26" s="16"/>
      <c r="L26" s="78"/>
      <c r="N26" s="78"/>
      <c r="O26" s="78"/>
    </row>
    <row r="27" spans="1:15" ht="12.75">
      <c r="A27" s="11"/>
      <c r="B27" s="11"/>
      <c r="C27" s="11"/>
      <c r="D27" s="11"/>
      <c r="E27" s="11"/>
      <c r="F27" s="11"/>
      <c r="G27" s="11"/>
      <c r="H27" s="11"/>
      <c r="J27" s="16"/>
      <c r="L27" s="78"/>
      <c r="N27" s="78"/>
      <c r="O27" s="78"/>
    </row>
    <row r="29" spans="12:15" ht="12.75">
      <c r="L29" s="61"/>
      <c r="N29" s="61"/>
      <c r="O29" s="61"/>
    </row>
    <row r="30" spans="12:16" ht="12.75">
      <c r="L30" s="61"/>
      <c r="N30" s="61"/>
      <c r="O30" s="61"/>
      <c r="P30" s="61"/>
    </row>
    <row r="31" spans="12:16" ht="12.75">
      <c r="L31" s="61"/>
      <c r="N31" s="61"/>
      <c r="O31" s="61"/>
      <c r="P31" s="61"/>
    </row>
    <row r="32" spans="12:16" ht="12.75">
      <c r="L32" s="61"/>
      <c r="N32" s="61"/>
      <c r="O32" s="61"/>
      <c r="P32" s="61"/>
    </row>
    <row r="33" spans="12:16" ht="12.75">
      <c r="L33" s="61"/>
      <c r="N33" s="61"/>
      <c r="O33" s="61"/>
      <c r="P33" s="61"/>
    </row>
    <row r="34" spans="12:16" ht="12.75">
      <c r="L34" s="61"/>
      <c r="N34" s="61"/>
      <c r="O34" s="61"/>
      <c r="P34" s="61"/>
    </row>
    <row r="35" spans="14:16" ht="12.75">
      <c r="N35" s="61"/>
      <c r="O35" s="61"/>
      <c r="P35" s="61"/>
    </row>
  </sheetData>
  <printOptions/>
  <pageMargins left="0.25" right="0.25" top="0.25" bottom="0.25" header="0.5" footer="0.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UW-Madison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GradUser</dc:creator>
  <cp:keywords/>
  <dc:description/>
  <cp:lastModifiedBy>Jacob Schuelke</cp:lastModifiedBy>
  <cp:lastPrinted>2002-01-29T20:21:57Z</cp:lastPrinted>
  <dcterms:created xsi:type="dcterms:W3CDTF">2002-03-31T02:49:54Z</dcterms:created>
  <dcterms:modified xsi:type="dcterms:W3CDTF">2004-04-13T18:13:43Z</dcterms:modified>
  <cp:category/>
  <cp:version/>
  <cp:contentType/>
  <cp:contentStatus/>
</cp:coreProperties>
</file>